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3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ämäTyökirja"/>
  <mc:AlternateContent xmlns:mc="http://schemas.openxmlformats.org/markup-compatibility/2006">
    <mc:Choice Requires="x15">
      <x15ac:absPath xmlns:x15ac="http://schemas.microsoft.com/office/spreadsheetml/2010/11/ac" url="C:\Users\Kimmo\Dropbox\LSK\Tuotantoseuranta\"/>
    </mc:Choice>
  </mc:AlternateContent>
  <xr:revisionPtr revIDLastSave="0" documentId="13_ncr:1_{AE0988A4-47AF-467E-A72E-33FE91C779BB}" xr6:coauthVersionLast="33" xr6:coauthVersionMax="33" xr10:uidLastSave="{00000000-0000-0000-0000-000000000000}"/>
  <workbookProtection workbookAlgorithmName="SHA-512" workbookHashValue="6INVZe30butMkM+lmfpjLn69wCsw+8DUZcLRUxIkQkW1colpT/thN16bkb54nX1ymMfFkdbDpvnCvZMfKf1dIg==" workbookSaltValue="f2EfYzJKpyRhwVpDGGo5cQ==" workbookSpinCount="100000" lockStructure="1"/>
  <bookViews>
    <workbookView xWindow="0" yWindow="0" windowWidth="17610" windowHeight="9645" tabRatio="653" xr2:uid="{00000000-000D-0000-FFFF-FFFF00000000}"/>
  </bookViews>
  <sheets>
    <sheet name="Ohjeet" sheetId="22" r:id="rId1"/>
    <sheet name="Yleistiedot" sheetId="16" r:id="rId2"/>
    <sheet name="Muistiinpanoja" sheetId="15" r:id="rId3"/>
    <sheet name="kasv-PVÄ" sheetId="1" r:id="rId4"/>
    <sheet name="kasv-INFO" sheetId="4" r:id="rId5"/>
    <sheet name="kasv-DIA" sheetId="13" r:id="rId6"/>
    <sheet name="tuot-PVÄ" sheetId="12" r:id="rId7"/>
    <sheet name="päiväseuranta-DIA" sheetId="19" r:id="rId8"/>
    <sheet name="tuot-VKO" sheetId="3" r:id="rId9"/>
    <sheet name="tuot-INFO" sheetId="5" r:id="rId10"/>
    <sheet name="tuot-DIA" sheetId="11" r:id="rId11"/>
    <sheet name="tuot-rehukirjanpito" sheetId="17" r:id="rId12"/>
    <sheet name="rehu-vesi-INFO" sheetId="6" r:id="rId13"/>
    <sheet name="rehu-vesi-DIA" sheetId="14" r:id="rId14"/>
  </sheets>
  <definedNames>
    <definedName name="Alkusaldo">#REF!</definedName>
    <definedName name="alkusaldo2">#REF!</definedName>
    <definedName name="Annetut_arvot">IF(Lainan_määrä*Korkopros*Lainavuodet*Lainan_nostopvm&gt;0,1,0)</definedName>
    <definedName name="Erien_lkm">MATCH(0.01,Loppusaldo,-1)+1</definedName>
    <definedName name="Eriä_vuodessa">#REF!</definedName>
    <definedName name="Erän_nro">#REF!</definedName>
    <definedName name="Eräpäivä">#REF!</definedName>
    <definedName name="Ker_korko">#REF!</definedName>
    <definedName name="Korko">#REF!</definedName>
    <definedName name="Korko_yht">#REF!</definedName>
    <definedName name="Korkopros">#REF!</definedName>
    <definedName name="Kuukausilyhennys">#REF!</definedName>
    <definedName name="Lainan_määrä">#REF!</definedName>
    <definedName name="Lainan_nostopvm">#REF!</definedName>
    <definedName name="Lainavuodet">#REF!</definedName>
    <definedName name="Loppusaldo">#REF!</definedName>
    <definedName name="Lyh_erä">#REF!</definedName>
    <definedName name="Lyh_yht">#REF!</definedName>
    <definedName name="Lyhennyksen_korko">#REF!</definedName>
    <definedName name="Maksupäivä">DATE(YEAR(Lainan_nostopvm),MONTH(Lainan_nostopvm)+Payment_Number,DAY(Lainan_nostopvm))</definedName>
    <definedName name="Otsikkorivi">ROW(#REF!)</definedName>
    <definedName name="Pääoma">#REF!</definedName>
    <definedName name="Tiedot">#REF!</definedName>
    <definedName name="Tul_alueen_palautus">OFFSET(Täyd_tul,0,0,Viim_rivi)</definedName>
    <definedName name="_xlnm.Print_Area" localSheetId="4">'kasv-INFO'!$A$1:$L$35</definedName>
    <definedName name="_xlnm.Print_Area" localSheetId="12">'rehu-vesi-INFO'!$A$1:$L$75</definedName>
    <definedName name="_xlnm.Print_Area" localSheetId="9">'tuot-INFO'!$A$1:$V$115</definedName>
    <definedName name="Täyd_tul">#REF!</definedName>
    <definedName name="Viim_rivi">IF(Annetut_arvot,Otsikkorivi+Erien_lkm,Otsikkorivi)</definedName>
    <definedName name="Ylim_lyh">#REF!</definedName>
    <definedName name="Ylimäär_lyhennykset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4" i="3"/>
  <c r="C5" i="3"/>
  <c r="C3" i="3"/>
  <c r="A4" i="3"/>
  <c r="A3" i="3"/>
  <c r="D28" i="16" l="1"/>
  <c r="N12" i="4" s="1"/>
  <c r="M32" i="4" l="1"/>
  <c r="O26" i="4"/>
  <c r="G26" i="4" s="1"/>
  <c r="N21" i="4"/>
  <c r="M16" i="4"/>
  <c r="O11" i="4"/>
  <c r="O30" i="4"/>
  <c r="N25" i="4"/>
  <c r="M20" i="4"/>
  <c r="O14" i="4"/>
  <c r="O34" i="4"/>
  <c r="N29" i="4"/>
  <c r="M24" i="4"/>
  <c r="O18" i="4"/>
  <c r="G18" i="4" s="1"/>
  <c r="N13" i="4"/>
  <c r="N33" i="4"/>
  <c r="M28" i="4"/>
  <c r="O22" i="4"/>
  <c r="G22" i="4" s="1"/>
  <c r="N17" i="4"/>
  <c r="M12" i="4"/>
  <c r="W8" i="5"/>
  <c r="O35" i="4"/>
  <c r="N34" i="4"/>
  <c r="M33" i="4"/>
  <c r="O31" i="4"/>
  <c r="N30" i="4"/>
  <c r="M29" i="4"/>
  <c r="O27" i="4"/>
  <c r="G27" i="4" s="1"/>
  <c r="N26" i="4"/>
  <c r="M25" i="4"/>
  <c r="O23" i="4"/>
  <c r="G23" i="4" s="1"/>
  <c r="N22" i="4"/>
  <c r="M21" i="4"/>
  <c r="O19" i="4"/>
  <c r="G19" i="4" s="1"/>
  <c r="N18" i="4"/>
  <c r="M17" i="4"/>
  <c r="O15" i="4"/>
  <c r="G15" i="4" s="1"/>
  <c r="N14" i="4"/>
  <c r="M13" i="4"/>
  <c r="M11" i="4"/>
  <c r="N35" i="4"/>
  <c r="M34" i="4"/>
  <c r="O32" i="4"/>
  <c r="N31" i="4"/>
  <c r="M30" i="4"/>
  <c r="O28" i="4"/>
  <c r="N27" i="4"/>
  <c r="M26" i="4"/>
  <c r="O24" i="4"/>
  <c r="G24" i="4" s="1"/>
  <c r="N23" i="4"/>
  <c r="M22" i="4"/>
  <c r="O20" i="4"/>
  <c r="G20" i="4" s="1"/>
  <c r="N19" i="4"/>
  <c r="M18" i="4"/>
  <c r="O16" i="4"/>
  <c r="G16" i="4" s="1"/>
  <c r="N15" i="4"/>
  <c r="M14" i="4"/>
  <c r="O12" i="4"/>
  <c r="G12" i="4" s="1"/>
  <c r="N11" i="4"/>
  <c r="M35" i="4"/>
  <c r="O33" i="4"/>
  <c r="N32" i="4"/>
  <c r="M31" i="4"/>
  <c r="O29" i="4"/>
  <c r="G29" i="4" s="1"/>
  <c r="N28" i="4"/>
  <c r="M27" i="4"/>
  <c r="O25" i="4"/>
  <c r="G25" i="4" s="1"/>
  <c r="N24" i="4"/>
  <c r="M23" i="4"/>
  <c r="O21" i="4"/>
  <c r="G21" i="4" s="1"/>
  <c r="N20" i="4"/>
  <c r="M19" i="4"/>
  <c r="O17" i="4"/>
  <c r="G17" i="4" s="1"/>
  <c r="N16" i="4"/>
  <c r="M15" i="4"/>
  <c r="O13" i="4"/>
  <c r="G13" i="4" s="1"/>
  <c r="G28" i="4"/>
  <c r="G11" i="4"/>
  <c r="G30" i="4"/>
  <c r="G14" i="4"/>
  <c r="B17" i="16"/>
  <c r="P11" i="4" l="1"/>
  <c r="T90" i="5"/>
  <c r="T86" i="5"/>
  <c r="T82" i="5"/>
  <c r="T78" i="5"/>
  <c r="T74" i="5"/>
  <c r="T70" i="5"/>
  <c r="T66" i="5"/>
  <c r="T62" i="5"/>
  <c r="T58" i="5"/>
  <c r="T54" i="5"/>
  <c r="T50" i="5"/>
  <c r="T46" i="5"/>
  <c r="T42" i="5"/>
  <c r="T38" i="5"/>
  <c r="T34" i="5"/>
  <c r="T30" i="5"/>
  <c r="T26" i="5"/>
  <c r="T22" i="5"/>
  <c r="T18" i="5"/>
  <c r="T14" i="5"/>
  <c r="K87" i="5"/>
  <c r="K83" i="5"/>
  <c r="K79" i="5"/>
  <c r="K75" i="5"/>
  <c r="K71" i="5"/>
  <c r="K67" i="5"/>
  <c r="K63" i="5"/>
  <c r="K59" i="5"/>
  <c r="K55" i="5"/>
  <c r="K51" i="5"/>
  <c r="K47" i="5"/>
  <c r="K43" i="5"/>
  <c r="K39" i="5"/>
  <c r="K35" i="5"/>
  <c r="K31" i="5"/>
  <c r="K27" i="5"/>
  <c r="K23" i="5"/>
  <c r="K19" i="5"/>
  <c r="K15" i="5"/>
  <c r="G88" i="5"/>
  <c r="W88" i="5" s="1"/>
  <c r="X88" i="5" s="1"/>
  <c r="G84" i="5"/>
  <c r="W84" i="5" s="1"/>
  <c r="X84" i="5" s="1"/>
  <c r="G80" i="5"/>
  <c r="W80" i="5" s="1"/>
  <c r="X80" i="5" s="1"/>
  <c r="G76" i="5"/>
  <c r="W76" i="5" s="1"/>
  <c r="X76" i="5" s="1"/>
  <c r="G72" i="5"/>
  <c r="W72" i="5" s="1"/>
  <c r="X72" i="5" s="1"/>
  <c r="G68" i="5"/>
  <c r="W68" i="5" s="1"/>
  <c r="X68" i="5" s="1"/>
  <c r="G64" i="5"/>
  <c r="W64" i="5" s="1"/>
  <c r="X64" i="5" s="1"/>
  <c r="G60" i="5"/>
  <c r="W60" i="5" s="1"/>
  <c r="X60" i="5" s="1"/>
  <c r="G56" i="5"/>
  <c r="W56" i="5" s="1"/>
  <c r="X56" i="5" s="1"/>
  <c r="G52" i="5"/>
  <c r="G48" i="5"/>
  <c r="W48" i="5" s="1"/>
  <c r="X48" i="5" s="1"/>
  <c r="G44" i="5"/>
  <c r="W44" i="5" s="1"/>
  <c r="X44" i="5" s="1"/>
  <c r="G40" i="5"/>
  <c r="W40" i="5" s="1"/>
  <c r="X40" i="5" s="1"/>
  <c r="G36" i="5"/>
  <c r="G32" i="5"/>
  <c r="G28" i="5"/>
  <c r="W28" i="5" s="1"/>
  <c r="X28" i="5" s="1"/>
  <c r="G24" i="5"/>
  <c r="W24" i="5" s="1"/>
  <c r="X24" i="5" s="1"/>
  <c r="G20" i="5"/>
  <c r="W20" i="5" s="1"/>
  <c r="X20" i="5" s="1"/>
  <c r="G16" i="5"/>
  <c r="W16" i="5" s="1"/>
  <c r="X16" i="5" s="1"/>
  <c r="T89" i="5"/>
  <c r="T85" i="5"/>
  <c r="T81" i="5"/>
  <c r="T77" i="5"/>
  <c r="T73" i="5"/>
  <c r="T69" i="5"/>
  <c r="T65" i="5"/>
  <c r="T61" i="5"/>
  <c r="T57" i="5"/>
  <c r="T53" i="5"/>
  <c r="T49" i="5"/>
  <c r="T45" i="5"/>
  <c r="T41" i="5"/>
  <c r="T37" i="5"/>
  <c r="T33" i="5"/>
  <c r="T29" i="5"/>
  <c r="T25" i="5"/>
  <c r="T21" i="5"/>
  <c r="T17" i="5"/>
  <c r="K90" i="5"/>
  <c r="K86" i="5"/>
  <c r="K82" i="5"/>
  <c r="K78" i="5"/>
  <c r="K74" i="5"/>
  <c r="K70" i="5"/>
  <c r="K66" i="5"/>
  <c r="K62" i="5"/>
  <c r="K58" i="5"/>
  <c r="K54" i="5"/>
  <c r="K50" i="5"/>
  <c r="K46" i="5"/>
  <c r="K42" i="5"/>
  <c r="K38" i="5"/>
  <c r="K34" i="5"/>
  <c r="K30" i="5"/>
  <c r="K26" i="5"/>
  <c r="K22" i="5"/>
  <c r="K18" i="5"/>
  <c r="K14" i="5"/>
  <c r="G87" i="5"/>
  <c r="W87" i="5" s="1"/>
  <c r="X87" i="5" s="1"/>
  <c r="G83" i="5"/>
  <c r="W83" i="5" s="1"/>
  <c r="X83" i="5" s="1"/>
  <c r="G79" i="5"/>
  <c r="W79" i="5" s="1"/>
  <c r="X79" i="5" s="1"/>
  <c r="G75" i="5"/>
  <c r="W75" i="5" s="1"/>
  <c r="X75" i="5" s="1"/>
  <c r="G71" i="5"/>
  <c r="G67" i="5"/>
  <c r="W67" i="5" s="1"/>
  <c r="X67" i="5" s="1"/>
  <c r="G63" i="5"/>
  <c r="W63" i="5" s="1"/>
  <c r="X63" i="5" s="1"/>
  <c r="G59" i="5"/>
  <c r="W59" i="5" s="1"/>
  <c r="X59" i="5" s="1"/>
  <c r="G55" i="5"/>
  <c r="G51" i="5"/>
  <c r="W51" i="5" s="1"/>
  <c r="X51" i="5" s="1"/>
  <c r="G47" i="5"/>
  <c r="W47" i="5" s="1"/>
  <c r="X47" i="5" s="1"/>
  <c r="G43" i="5"/>
  <c r="W43" i="5" s="1"/>
  <c r="X43" i="5" s="1"/>
  <c r="G39" i="5"/>
  <c r="W39" i="5" s="1"/>
  <c r="X39" i="5" s="1"/>
  <c r="G35" i="5"/>
  <c r="W35" i="5" s="1"/>
  <c r="X35" i="5" s="1"/>
  <c r="G31" i="5"/>
  <c r="W31" i="5" s="1"/>
  <c r="X31" i="5" s="1"/>
  <c r="G27" i="5"/>
  <c r="W27" i="5" s="1"/>
  <c r="X27" i="5" s="1"/>
  <c r="G23" i="5"/>
  <c r="W23" i="5" s="1"/>
  <c r="X23" i="5" s="1"/>
  <c r="G19" i="5"/>
  <c r="W19" i="5" s="1"/>
  <c r="X19" i="5" s="1"/>
  <c r="G15" i="5"/>
  <c r="W15" i="5" s="1"/>
  <c r="X15" i="5" s="1"/>
  <c r="T87" i="5"/>
  <c r="T71" i="5"/>
  <c r="D71" i="5" s="1"/>
  <c r="T63" i="5"/>
  <c r="T55" i="5"/>
  <c r="T47" i="5"/>
  <c r="T39" i="5"/>
  <c r="D39" i="5" s="1"/>
  <c r="T31" i="5"/>
  <c r="T88" i="5"/>
  <c r="D88" i="5" s="1"/>
  <c r="T84" i="5"/>
  <c r="D84" i="5" s="1"/>
  <c r="T80" i="5"/>
  <c r="D80" i="5" s="1"/>
  <c r="T76" i="5"/>
  <c r="D76" i="5" s="1"/>
  <c r="T72" i="5"/>
  <c r="D72" i="5" s="1"/>
  <c r="T68" i="5"/>
  <c r="D68" i="5" s="1"/>
  <c r="T64" i="5"/>
  <c r="D64" i="5" s="1"/>
  <c r="T60" i="5"/>
  <c r="D60" i="5" s="1"/>
  <c r="T56" i="5"/>
  <c r="D56" i="5" s="1"/>
  <c r="T52" i="5"/>
  <c r="D52" i="5" s="1"/>
  <c r="T48" i="5"/>
  <c r="D48" i="5" s="1"/>
  <c r="T44" i="5"/>
  <c r="D44" i="5" s="1"/>
  <c r="T40" i="5"/>
  <c r="D40" i="5" s="1"/>
  <c r="T36" i="5"/>
  <c r="D36" i="5" s="1"/>
  <c r="T32" i="5"/>
  <c r="D32" i="5" s="1"/>
  <c r="T28" i="5"/>
  <c r="D28" i="5" s="1"/>
  <c r="T24" i="5"/>
  <c r="D24" i="5" s="1"/>
  <c r="T20" i="5"/>
  <c r="D20" i="5" s="1"/>
  <c r="T16" i="5"/>
  <c r="D16" i="5" s="1"/>
  <c r="K89" i="5"/>
  <c r="K85" i="5"/>
  <c r="K81" i="5"/>
  <c r="K77" i="5"/>
  <c r="K73" i="5"/>
  <c r="K69" i="5"/>
  <c r="K65" i="5"/>
  <c r="K61" i="5"/>
  <c r="K57" i="5"/>
  <c r="K53" i="5"/>
  <c r="K49" i="5"/>
  <c r="K45" i="5"/>
  <c r="K41" i="5"/>
  <c r="K37" i="5"/>
  <c r="K33" i="5"/>
  <c r="K29" i="5"/>
  <c r="K25" i="5"/>
  <c r="K21" i="5"/>
  <c r="K17" i="5"/>
  <c r="G90" i="5"/>
  <c r="G86" i="5"/>
  <c r="W86" i="5" s="1"/>
  <c r="X86" i="5" s="1"/>
  <c r="G82" i="5"/>
  <c r="W82" i="5" s="1"/>
  <c r="X82" i="5" s="1"/>
  <c r="G78" i="5"/>
  <c r="G74" i="5"/>
  <c r="W74" i="5" s="1"/>
  <c r="X74" i="5" s="1"/>
  <c r="G70" i="5"/>
  <c r="W70" i="5" s="1"/>
  <c r="X70" i="5" s="1"/>
  <c r="G66" i="5"/>
  <c r="W66" i="5" s="1"/>
  <c r="X66" i="5" s="1"/>
  <c r="G62" i="5"/>
  <c r="G58" i="5"/>
  <c r="W58" i="5" s="1"/>
  <c r="X58" i="5" s="1"/>
  <c r="G54" i="5"/>
  <c r="W54" i="5" s="1"/>
  <c r="X54" i="5" s="1"/>
  <c r="G50" i="5"/>
  <c r="W50" i="5" s="1"/>
  <c r="X50" i="5" s="1"/>
  <c r="G46" i="5"/>
  <c r="G42" i="5"/>
  <c r="W42" i="5" s="1"/>
  <c r="X42" i="5" s="1"/>
  <c r="G38" i="5"/>
  <c r="W38" i="5" s="1"/>
  <c r="X38" i="5" s="1"/>
  <c r="G34" i="5"/>
  <c r="W34" i="5" s="1"/>
  <c r="X34" i="5" s="1"/>
  <c r="G30" i="5"/>
  <c r="W30" i="5" s="1"/>
  <c r="X30" i="5" s="1"/>
  <c r="G26" i="5"/>
  <c r="W26" i="5" s="1"/>
  <c r="X26" i="5" s="1"/>
  <c r="G22" i="5"/>
  <c r="W22" i="5" s="1"/>
  <c r="X22" i="5" s="1"/>
  <c r="G18" i="5"/>
  <c r="W18" i="5" s="1"/>
  <c r="X18" i="5" s="1"/>
  <c r="G14" i="5"/>
  <c r="T83" i="5"/>
  <c r="T79" i="5"/>
  <c r="T75" i="5"/>
  <c r="T67" i="5"/>
  <c r="T59" i="5"/>
  <c r="D59" i="5" s="1"/>
  <c r="T51" i="5"/>
  <c r="D51" i="5" s="1"/>
  <c r="T43" i="5"/>
  <c r="T35" i="5"/>
  <c r="T27" i="5"/>
  <c r="D27" i="5" s="1"/>
  <c r="K88" i="5"/>
  <c r="K72" i="5"/>
  <c r="K56" i="5"/>
  <c r="K40" i="5"/>
  <c r="K24" i="5"/>
  <c r="G85" i="5"/>
  <c r="W85" i="5" s="1"/>
  <c r="X85" i="5" s="1"/>
  <c r="G69" i="5"/>
  <c r="G53" i="5"/>
  <c r="W53" i="5" s="1"/>
  <c r="X53" i="5" s="1"/>
  <c r="G37" i="5"/>
  <c r="W37" i="5" s="1"/>
  <c r="X37" i="5" s="1"/>
  <c r="G21" i="5"/>
  <c r="W21" i="5" s="1"/>
  <c r="X21" i="5" s="1"/>
  <c r="K76" i="5"/>
  <c r="K44" i="5"/>
  <c r="G89" i="5"/>
  <c r="G57" i="5"/>
  <c r="W57" i="5" s="1"/>
  <c r="X57" i="5" s="1"/>
  <c r="G25" i="5"/>
  <c r="T23" i="5"/>
  <c r="D23" i="5" s="1"/>
  <c r="K84" i="5"/>
  <c r="K68" i="5"/>
  <c r="K52" i="5"/>
  <c r="K36" i="5"/>
  <c r="K20" i="5"/>
  <c r="G81" i="5"/>
  <c r="W81" i="5" s="1"/>
  <c r="X81" i="5" s="1"/>
  <c r="G65" i="5"/>
  <c r="W65" i="5" s="1"/>
  <c r="X65" i="5" s="1"/>
  <c r="G49" i="5"/>
  <c r="W49" i="5" s="1"/>
  <c r="X49" i="5" s="1"/>
  <c r="G33" i="5"/>
  <c r="W33" i="5" s="1"/>
  <c r="X33" i="5" s="1"/>
  <c r="G17" i="5"/>
  <c r="W17" i="5" s="1"/>
  <c r="X17" i="5" s="1"/>
  <c r="T19" i="5"/>
  <c r="K80" i="5"/>
  <c r="K64" i="5"/>
  <c r="K48" i="5"/>
  <c r="K32" i="5"/>
  <c r="K16" i="5"/>
  <c r="G77" i="5"/>
  <c r="W77" i="5" s="1"/>
  <c r="X77" i="5" s="1"/>
  <c r="G61" i="5"/>
  <c r="W61" i="5" s="1"/>
  <c r="X61" i="5" s="1"/>
  <c r="G45" i="5"/>
  <c r="G29" i="5"/>
  <c r="W29" i="5" s="1"/>
  <c r="X29" i="5" s="1"/>
  <c r="T15" i="5"/>
  <c r="K60" i="5"/>
  <c r="K28" i="5"/>
  <c r="G73" i="5"/>
  <c r="W73" i="5" s="1"/>
  <c r="X73" i="5" s="1"/>
  <c r="G41" i="5"/>
  <c r="W41" i="5" s="1"/>
  <c r="X41" i="5" s="1"/>
  <c r="N115" i="6"/>
  <c r="M115" i="6"/>
  <c r="K115" i="6" s="1"/>
  <c r="L115" i="6"/>
  <c r="N114" i="6"/>
  <c r="M114" i="6"/>
  <c r="L114" i="6"/>
  <c r="N113" i="6"/>
  <c r="M113" i="6"/>
  <c r="L113" i="6"/>
  <c r="N112" i="6"/>
  <c r="M112" i="6"/>
  <c r="L112" i="6"/>
  <c r="N111" i="6"/>
  <c r="M111" i="6"/>
  <c r="K111" i="6" s="1"/>
  <c r="L111" i="6"/>
  <c r="N110" i="6"/>
  <c r="M110" i="6"/>
  <c r="L110" i="6"/>
  <c r="N109" i="6"/>
  <c r="M109" i="6"/>
  <c r="L109" i="6"/>
  <c r="N108" i="6"/>
  <c r="M108" i="6"/>
  <c r="L108" i="6"/>
  <c r="N107" i="6"/>
  <c r="M107" i="6"/>
  <c r="K107" i="6" s="1"/>
  <c r="L107" i="6"/>
  <c r="N106" i="6"/>
  <c r="M106" i="6"/>
  <c r="L106" i="6"/>
  <c r="N105" i="6"/>
  <c r="M105" i="6"/>
  <c r="L105" i="6"/>
  <c r="N104" i="6"/>
  <c r="M104" i="6"/>
  <c r="L104" i="6"/>
  <c r="N103" i="6"/>
  <c r="M103" i="6"/>
  <c r="K103" i="6" s="1"/>
  <c r="L103" i="6"/>
  <c r="N102" i="6"/>
  <c r="M102" i="6"/>
  <c r="L102" i="6"/>
  <c r="N101" i="6"/>
  <c r="M101" i="6"/>
  <c r="L101" i="6"/>
  <c r="N100" i="6"/>
  <c r="M100" i="6"/>
  <c r="L100" i="6"/>
  <c r="N99" i="6"/>
  <c r="M99" i="6"/>
  <c r="K99" i="6" s="1"/>
  <c r="L99" i="6"/>
  <c r="N98" i="6"/>
  <c r="M98" i="6"/>
  <c r="L98" i="6"/>
  <c r="N97" i="6"/>
  <c r="M97" i="6"/>
  <c r="L97" i="6"/>
  <c r="N96" i="6"/>
  <c r="M96" i="6"/>
  <c r="L96" i="6"/>
  <c r="N95" i="6"/>
  <c r="M95" i="6"/>
  <c r="K95" i="6" s="1"/>
  <c r="L95" i="6"/>
  <c r="N94" i="6"/>
  <c r="M94" i="6"/>
  <c r="L94" i="6"/>
  <c r="N93" i="6"/>
  <c r="M93" i="6"/>
  <c r="L93" i="6"/>
  <c r="N92" i="6"/>
  <c r="M92" i="6"/>
  <c r="L92" i="6"/>
  <c r="N91" i="6"/>
  <c r="M91" i="6"/>
  <c r="K91" i="6" s="1"/>
  <c r="L91" i="6"/>
  <c r="N90" i="6"/>
  <c r="M90" i="6"/>
  <c r="L90" i="6"/>
  <c r="N89" i="6"/>
  <c r="M89" i="6"/>
  <c r="L89" i="6"/>
  <c r="N88" i="6"/>
  <c r="M88" i="6"/>
  <c r="L88" i="6"/>
  <c r="N87" i="6"/>
  <c r="M87" i="6"/>
  <c r="K87" i="6" s="1"/>
  <c r="L87" i="6"/>
  <c r="N86" i="6"/>
  <c r="M86" i="6"/>
  <c r="L86" i="6"/>
  <c r="N85" i="6"/>
  <c r="M85" i="6"/>
  <c r="L85" i="6"/>
  <c r="N84" i="6"/>
  <c r="M84" i="6"/>
  <c r="L84" i="6"/>
  <c r="N83" i="6"/>
  <c r="M83" i="6"/>
  <c r="K83" i="6" s="1"/>
  <c r="L83" i="6"/>
  <c r="N82" i="6"/>
  <c r="M82" i="6"/>
  <c r="L82" i="6"/>
  <c r="N81" i="6"/>
  <c r="M81" i="6"/>
  <c r="L81" i="6"/>
  <c r="N80" i="6"/>
  <c r="M80" i="6"/>
  <c r="L80" i="6"/>
  <c r="N79" i="6"/>
  <c r="M79" i="6"/>
  <c r="K79" i="6" s="1"/>
  <c r="L79" i="6"/>
  <c r="N78" i="6"/>
  <c r="M78" i="6"/>
  <c r="L78" i="6"/>
  <c r="N77" i="6"/>
  <c r="M77" i="6"/>
  <c r="L77" i="6"/>
  <c r="N76" i="6"/>
  <c r="M76" i="6"/>
  <c r="L76" i="6"/>
  <c r="N75" i="6"/>
  <c r="M75" i="6"/>
  <c r="K75" i="6" s="1"/>
  <c r="L75" i="6"/>
  <c r="N74" i="6"/>
  <c r="M74" i="6"/>
  <c r="L74" i="6"/>
  <c r="N73" i="6"/>
  <c r="M73" i="6"/>
  <c r="L73" i="6"/>
  <c r="N72" i="6"/>
  <c r="M72" i="6"/>
  <c r="L72" i="6"/>
  <c r="N71" i="6"/>
  <c r="M71" i="6"/>
  <c r="K71" i="6" s="1"/>
  <c r="L71" i="6"/>
  <c r="N70" i="6"/>
  <c r="M70" i="6"/>
  <c r="L70" i="6"/>
  <c r="N69" i="6"/>
  <c r="M69" i="6"/>
  <c r="L69" i="6"/>
  <c r="N68" i="6"/>
  <c r="M68" i="6"/>
  <c r="L68" i="6"/>
  <c r="N67" i="6"/>
  <c r="M67" i="6"/>
  <c r="K67" i="6" s="1"/>
  <c r="L67" i="6"/>
  <c r="N66" i="6"/>
  <c r="M66" i="6"/>
  <c r="L66" i="6"/>
  <c r="N65" i="6"/>
  <c r="M65" i="6"/>
  <c r="L65" i="6"/>
  <c r="N64" i="6"/>
  <c r="M64" i="6"/>
  <c r="L64" i="6"/>
  <c r="N63" i="6"/>
  <c r="M63" i="6"/>
  <c r="K63" i="6" s="1"/>
  <c r="L63" i="6"/>
  <c r="N62" i="6"/>
  <c r="M62" i="6"/>
  <c r="L62" i="6"/>
  <c r="N61" i="6"/>
  <c r="M61" i="6"/>
  <c r="L61" i="6"/>
  <c r="N60" i="6"/>
  <c r="M60" i="6"/>
  <c r="L60" i="6"/>
  <c r="N59" i="6"/>
  <c r="M59" i="6"/>
  <c r="K59" i="6" s="1"/>
  <c r="L59" i="6"/>
  <c r="N58" i="6"/>
  <c r="M58" i="6"/>
  <c r="L58" i="6"/>
  <c r="N57" i="6"/>
  <c r="M57" i="6"/>
  <c r="L57" i="6"/>
  <c r="N56" i="6"/>
  <c r="M56" i="6"/>
  <c r="L56" i="6"/>
  <c r="N55" i="6"/>
  <c r="M55" i="6"/>
  <c r="K55" i="6" s="1"/>
  <c r="L55" i="6"/>
  <c r="N54" i="6"/>
  <c r="M54" i="6"/>
  <c r="L54" i="6"/>
  <c r="N53" i="6"/>
  <c r="M53" i="6"/>
  <c r="L53" i="6"/>
  <c r="N52" i="6"/>
  <c r="M52" i="6"/>
  <c r="L52" i="6"/>
  <c r="N51" i="6"/>
  <c r="M51" i="6"/>
  <c r="K51" i="6" s="1"/>
  <c r="L51" i="6"/>
  <c r="N50" i="6"/>
  <c r="M50" i="6"/>
  <c r="L50" i="6"/>
  <c r="N49" i="6"/>
  <c r="M49" i="6"/>
  <c r="L49" i="6"/>
  <c r="N48" i="6"/>
  <c r="M48" i="6"/>
  <c r="L48" i="6"/>
  <c r="N47" i="6"/>
  <c r="M47" i="6"/>
  <c r="K47" i="6" s="1"/>
  <c r="L47" i="6"/>
  <c r="N46" i="6"/>
  <c r="M46" i="6"/>
  <c r="L46" i="6"/>
  <c r="N45" i="6"/>
  <c r="M45" i="6"/>
  <c r="L45" i="6"/>
  <c r="N44" i="6"/>
  <c r="M44" i="6"/>
  <c r="L44" i="6"/>
  <c r="N43" i="6"/>
  <c r="M43" i="6"/>
  <c r="K43" i="6" s="1"/>
  <c r="L43" i="6"/>
  <c r="O42" i="6"/>
  <c r="N42" i="6"/>
  <c r="M42" i="6"/>
  <c r="L42" i="6"/>
  <c r="K42" i="6"/>
  <c r="N41" i="6"/>
  <c r="M41" i="6"/>
  <c r="L41" i="6"/>
  <c r="N40" i="6"/>
  <c r="M40" i="6"/>
  <c r="L40" i="6"/>
  <c r="N39" i="6"/>
  <c r="M39" i="6"/>
  <c r="K39" i="6" s="1"/>
  <c r="L39" i="6"/>
  <c r="N38" i="6"/>
  <c r="O38" i="6" s="1"/>
  <c r="M38" i="6"/>
  <c r="L38" i="6"/>
  <c r="N37" i="6"/>
  <c r="M37" i="6"/>
  <c r="L37" i="6"/>
  <c r="N36" i="6"/>
  <c r="M36" i="6"/>
  <c r="L36" i="6"/>
  <c r="N35" i="6"/>
  <c r="M35" i="6"/>
  <c r="K35" i="6" s="1"/>
  <c r="L35" i="6"/>
  <c r="O34" i="6"/>
  <c r="N34" i="6"/>
  <c r="M34" i="6"/>
  <c r="L34" i="6"/>
  <c r="K34" i="6"/>
  <c r="N33" i="6"/>
  <c r="M33" i="6"/>
  <c r="L33" i="6"/>
  <c r="N32" i="6"/>
  <c r="M32" i="6"/>
  <c r="L32" i="6"/>
  <c r="N31" i="6"/>
  <c r="M31" i="6"/>
  <c r="K31" i="6" s="1"/>
  <c r="L31" i="6"/>
  <c r="N30" i="6"/>
  <c r="O30" i="6" s="1"/>
  <c r="M30" i="6"/>
  <c r="L30" i="6"/>
  <c r="N29" i="6"/>
  <c r="M29" i="6"/>
  <c r="L29" i="6"/>
  <c r="N28" i="6"/>
  <c r="M28" i="6"/>
  <c r="O28" i="6" s="1"/>
  <c r="L28" i="6"/>
  <c r="N27" i="6"/>
  <c r="M27" i="6"/>
  <c r="O27" i="6" s="1"/>
  <c r="L27" i="6"/>
  <c r="N26" i="6"/>
  <c r="M26" i="6"/>
  <c r="O26" i="6" s="1"/>
  <c r="L26" i="6"/>
  <c r="N25" i="6"/>
  <c r="M25" i="6"/>
  <c r="L25" i="6"/>
  <c r="N24" i="6"/>
  <c r="M24" i="6"/>
  <c r="O24" i="6" s="1"/>
  <c r="L24" i="6"/>
  <c r="N23" i="6"/>
  <c r="M23" i="6"/>
  <c r="O23" i="6" s="1"/>
  <c r="L23" i="6"/>
  <c r="J23" i="6"/>
  <c r="N22" i="6"/>
  <c r="M22" i="6"/>
  <c r="O22" i="6" s="1"/>
  <c r="L22" i="6"/>
  <c r="N21" i="6"/>
  <c r="M21" i="6"/>
  <c r="O21" i="6" s="1"/>
  <c r="L21" i="6"/>
  <c r="N20" i="6"/>
  <c r="M20" i="6"/>
  <c r="L20" i="6"/>
  <c r="N19" i="6"/>
  <c r="M19" i="6"/>
  <c r="K19" i="6" s="1"/>
  <c r="L19" i="6"/>
  <c r="N18" i="6"/>
  <c r="M18" i="6"/>
  <c r="L18" i="6"/>
  <c r="N17" i="6"/>
  <c r="M17" i="6"/>
  <c r="K17" i="6" s="1"/>
  <c r="L17" i="6"/>
  <c r="N16" i="6"/>
  <c r="O16" i="6" s="1"/>
  <c r="M16" i="6"/>
  <c r="L16" i="6"/>
  <c r="N15" i="6"/>
  <c r="O15" i="6" s="1"/>
  <c r="M15" i="6"/>
  <c r="L15" i="6"/>
  <c r="N14" i="6"/>
  <c r="O14" i="6" s="1"/>
  <c r="M14" i="6"/>
  <c r="L14" i="6"/>
  <c r="N13" i="6"/>
  <c r="K13" i="6" s="1"/>
  <c r="M13" i="6"/>
  <c r="L13" i="6"/>
  <c r="N12" i="6"/>
  <c r="M12" i="6"/>
  <c r="L12" i="6"/>
  <c r="N11" i="6"/>
  <c r="M11" i="6"/>
  <c r="O11" i="6" s="1"/>
  <c r="L11" i="6"/>
  <c r="N10" i="6"/>
  <c r="M10" i="6"/>
  <c r="O10" i="6" s="1"/>
  <c r="L10" i="6"/>
  <c r="W115" i="5"/>
  <c r="X115" i="5" s="1"/>
  <c r="V115" i="5"/>
  <c r="T115" i="5"/>
  <c r="I115" i="5"/>
  <c r="X114" i="5"/>
  <c r="W114" i="5"/>
  <c r="T114" i="5"/>
  <c r="V114" i="5" s="1"/>
  <c r="I114" i="5"/>
  <c r="X113" i="5"/>
  <c r="W113" i="5"/>
  <c r="T113" i="5"/>
  <c r="V113" i="5" s="1"/>
  <c r="M113" i="5" s="1"/>
  <c r="I113" i="5"/>
  <c r="W112" i="5"/>
  <c r="X112" i="5" s="1"/>
  <c r="T112" i="5"/>
  <c r="V112" i="5" s="1"/>
  <c r="M112" i="5" s="1"/>
  <c r="I112" i="5"/>
  <c r="W111" i="5"/>
  <c r="X111" i="5" s="1"/>
  <c r="V111" i="5"/>
  <c r="T111" i="5"/>
  <c r="I111" i="5"/>
  <c r="X110" i="5"/>
  <c r="W110" i="5"/>
  <c r="T110" i="5"/>
  <c r="V110" i="5" s="1"/>
  <c r="M110" i="5" s="1"/>
  <c r="I110" i="5"/>
  <c r="W109" i="5"/>
  <c r="X109" i="5" s="1"/>
  <c r="W108" i="5"/>
  <c r="X108" i="5" s="1"/>
  <c r="W107" i="5"/>
  <c r="X107" i="5" s="1"/>
  <c r="W106" i="5"/>
  <c r="X106" i="5" s="1"/>
  <c r="W105" i="5"/>
  <c r="X105" i="5" s="1"/>
  <c r="W104" i="5"/>
  <c r="X104" i="5" s="1"/>
  <c r="W103" i="5"/>
  <c r="X103" i="5" s="1"/>
  <c r="W102" i="5"/>
  <c r="X102" i="5" s="1"/>
  <c r="W101" i="5"/>
  <c r="X101" i="5" s="1"/>
  <c r="W100" i="5"/>
  <c r="X100" i="5" s="1"/>
  <c r="W99" i="5"/>
  <c r="X99" i="5" s="1"/>
  <c r="W98" i="5"/>
  <c r="X98" i="5" s="1"/>
  <c r="W97" i="5"/>
  <c r="X97" i="5" s="1"/>
  <c r="W96" i="5"/>
  <c r="X96" i="5" s="1"/>
  <c r="W95" i="5"/>
  <c r="X95" i="5" s="1"/>
  <c r="W94" i="5"/>
  <c r="X94" i="5" s="1"/>
  <c r="W93" i="5"/>
  <c r="X93" i="5" s="1"/>
  <c r="W92" i="5"/>
  <c r="X92" i="5" s="1"/>
  <c r="W91" i="5"/>
  <c r="X91" i="5" s="1"/>
  <c r="W90" i="5"/>
  <c r="X90" i="5" s="1"/>
  <c r="W89" i="5"/>
  <c r="X89" i="5" s="1"/>
  <c r="W78" i="5"/>
  <c r="X78" i="5" s="1"/>
  <c r="W71" i="5"/>
  <c r="X71" i="5" s="1"/>
  <c r="W69" i="5"/>
  <c r="X69" i="5" s="1"/>
  <c r="W62" i="5"/>
  <c r="X62" i="5" s="1"/>
  <c r="W55" i="5"/>
  <c r="X55" i="5" s="1"/>
  <c r="W52" i="5"/>
  <c r="X52" i="5" s="1"/>
  <c r="W46" i="5"/>
  <c r="X46" i="5" s="1"/>
  <c r="W45" i="5"/>
  <c r="X45" i="5" s="1"/>
  <c r="W36" i="5"/>
  <c r="X36" i="5" s="1"/>
  <c r="W32" i="5"/>
  <c r="X32" i="5" s="1"/>
  <c r="W25" i="5"/>
  <c r="X25" i="5" s="1"/>
  <c r="W14" i="5"/>
  <c r="X14" i="5" s="1"/>
  <c r="V14" i="5"/>
  <c r="Z14" i="5" s="1"/>
  <c r="T13" i="5"/>
  <c r="V13" i="5" s="1"/>
  <c r="I13" i="5"/>
  <c r="Z12" i="5"/>
  <c r="O12" i="5" s="1"/>
  <c r="T12" i="5"/>
  <c r="V12" i="5" s="1"/>
  <c r="M12" i="5" s="1"/>
  <c r="I12" i="5"/>
  <c r="V11" i="5"/>
  <c r="T11" i="5"/>
  <c r="I11" i="5"/>
  <c r="T10" i="5"/>
  <c r="V10" i="5" s="1"/>
  <c r="I10" i="5"/>
  <c r="A7" i="3"/>
  <c r="J5" i="3"/>
  <c r="O5" i="5" s="1"/>
  <c r="G5" i="3"/>
  <c r="D5" i="6"/>
  <c r="J4" i="3"/>
  <c r="O4" i="5" s="1"/>
  <c r="G4" i="3"/>
  <c r="H4" i="6" s="1"/>
  <c r="D4" i="6"/>
  <c r="A4" i="6"/>
  <c r="J3" i="3"/>
  <c r="A19" i="3" s="1"/>
  <c r="G3" i="3"/>
  <c r="H3" i="6" s="1"/>
  <c r="D3" i="6"/>
  <c r="A3" i="6"/>
  <c r="AH744" i="12"/>
  <c r="AE744" i="12"/>
  <c r="I744" i="12"/>
  <c r="AH743" i="12"/>
  <c r="AE743" i="12"/>
  <c r="I743" i="12"/>
  <c r="AH742" i="12"/>
  <c r="AE742" i="12"/>
  <c r="I742" i="12"/>
  <c r="AH741" i="12"/>
  <c r="AE741" i="12"/>
  <c r="I741" i="12"/>
  <c r="AH740" i="12"/>
  <c r="AE740" i="12"/>
  <c r="I740" i="12"/>
  <c r="AH739" i="12"/>
  <c r="AE739" i="12"/>
  <c r="I739" i="12"/>
  <c r="AH738" i="12"/>
  <c r="AE738" i="12"/>
  <c r="I738" i="12"/>
  <c r="AH737" i="12"/>
  <c r="AE737" i="12"/>
  <c r="I737" i="12"/>
  <c r="AH736" i="12"/>
  <c r="AE736" i="12"/>
  <c r="I736" i="12"/>
  <c r="AH735" i="12"/>
  <c r="AE735" i="12"/>
  <c r="I735" i="12"/>
  <c r="AH734" i="12"/>
  <c r="AE734" i="12"/>
  <c r="I734" i="12"/>
  <c r="AH733" i="12"/>
  <c r="AE733" i="12"/>
  <c r="I733" i="12"/>
  <c r="AH732" i="12"/>
  <c r="AE732" i="12"/>
  <c r="I732" i="12"/>
  <c r="AH731" i="12"/>
  <c r="AE731" i="12"/>
  <c r="I731" i="12"/>
  <c r="AH730" i="12"/>
  <c r="AE730" i="12"/>
  <c r="I730" i="12"/>
  <c r="AH729" i="12"/>
  <c r="AE729" i="12"/>
  <c r="I729" i="12"/>
  <c r="AH728" i="12"/>
  <c r="AE728" i="12"/>
  <c r="I728" i="12"/>
  <c r="AH727" i="12"/>
  <c r="AE727" i="12"/>
  <c r="I727" i="12"/>
  <c r="AH726" i="12"/>
  <c r="AE726" i="12"/>
  <c r="I726" i="12"/>
  <c r="AH725" i="12"/>
  <c r="AE725" i="12"/>
  <c r="I725" i="12"/>
  <c r="AH724" i="12"/>
  <c r="AE724" i="12"/>
  <c r="I724" i="12"/>
  <c r="AH723" i="12"/>
  <c r="AE723" i="12"/>
  <c r="I723" i="12"/>
  <c r="AH722" i="12"/>
  <c r="AE722" i="12"/>
  <c r="I722" i="12"/>
  <c r="AH721" i="12"/>
  <c r="AE721" i="12"/>
  <c r="I721" i="12"/>
  <c r="AH720" i="12"/>
  <c r="AE720" i="12"/>
  <c r="I720" i="12"/>
  <c r="AH719" i="12"/>
  <c r="AE719" i="12"/>
  <c r="I719" i="12"/>
  <c r="AH718" i="12"/>
  <c r="AE718" i="12"/>
  <c r="I718" i="12"/>
  <c r="AH717" i="12"/>
  <c r="AE717" i="12"/>
  <c r="I717" i="12"/>
  <c r="AH716" i="12"/>
  <c r="AE716" i="12"/>
  <c r="I716" i="12"/>
  <c r="AH715" i="12"/>
  <c r="AE715" i="12"/>
  <c r="I715" i="12"/>
  <c r="AH714" i="12"/>
  <c r="AE714" i="12"/>
  <c r="I714" i="12"/>
  <c r="AH713" i="12"/>
  <c r="AE713" i="12"/>
  <c r="I713" i="12"/>
  <c r="AH712" i="12"/>
  <c r="AE712" i="12"/>
  <c r="I712" i="12"/>
  <c r="AH711" i="12"/>
  <c r="AE711" i="12"/>
  <c r="I711" i="12"/>
  <c r="AH710" i="12"/>
  <c r="AE710" i="12"/>
  <c r="I710" i="12"/>
  <c r="AH709" i="12"/>
  <c r="AE709" i="12"/>
  <c r="I709" i="12"/>
  <c r="AH708" i="12"/>
  <c r="AE708" i="12"/>
  <c r="I708" i="12"/>
  <c r="AH707" i="12"/>
  <c r="AE707" i="12"/>
  <c r="I707" i="12"/>
  <c r="AH706" i="12"/>
  <c r="AE706" i="12"/>
  <c r="I706" i="12"/>
  <c r="AH705" i="12"/>
  <c r="AE705" i="12"/>
  <c r="I705" i="12"/>
  <c r="AH704" i="12"/>
  <c r="AE704" i="12"/>
  <c r="I704" i="12"/>
  <c r="AH703" i="12"/>
  <c r="AE703" i="12"/>
  <c r="I703" i="12"/>
  <c r="AH702" i="12"/>
  <c r="AE702" i="12"/>
  <c r="I702" i="12"/>
  <c r="AH701" i="12"/>
  <c r="AE701" i="12"/>
  <c r="I701" i="12"/>
  <c r="AH700" i="12"/>
  <c r="AE700" i="12"/>
  <c r="I700" i="12"/>
  <c r="AH699" i="12"/>
  <c r="AE699" i="12"/>
  <c r="I699" i="12"/>
  <c r="AH698" i="12"/>
  <c r="AE698" i="12"/>
  <c r="I698" i="12"/>
  <c r="AH697" i="12"/>
  <c r="AE697" i="12"/>
  <c r="I697" i="12"/>
  <c r="AH696" i="12"/>
  <c r="AE696" i="12"/>
  <c r="I696" i="12"/>
  <c r="AH695" i="12"/>
  <c r="AE695" i="12"/>
  <c r="I695" i="12"/>
  <c r="AH694" i="12"/>
  <c r="AE694" i="12"/>
  <c r="I694" i="12"/>
  <c r="AH693" i="12"/>
  <c r="AE693" i="12"/>
  <c r="I693" i="12"/>
  <c r="AH692" i="12"/>
  <c r="AE692" i="12"/>
  <c r="I692" i="12"/>
  <c r="AH691" i="12"/>
  <c r="AE691" i="12"/>
  <c r="I691" i="12"/>
  <c r="AH690" i="12"/>
  <c r="AE690" i="12"/>
  <c r="I690" i="12"/>
  <c r="AH689" i="12"/>
  <c r="AE689" i="12"/>
  <c r="I689" i="12"/>
  <c r="AH688" i="12"/>
  <c r="AE688" i="12"/>
  <c r="I688" i="12"/>
  <c r="AH687" i="12"/>
  <c r="AE687" i="12"/>
  <c r="I687" i="12"/>
  <c r="AH686" i="12"/>
  <c r="AE686" i="12"/>
  <c r="I686" i="12"/>
  <c r="AH685" i="12"/>
  <c r="AE685" i="12"/>
  <c r="I685" i="12"/>
  <c r="AH684" i="12"/>
  <c r="AE684" i="12"/>
  <c r="I684" i="12"/>
  <c r="AH683" i="12"/>
  <c r="AE683" i="12"/>
  <c r="I683" i="12"/>
  <c r="AH682" i="12"/>
  <c r="AE682" i="12"/>
  <c r="I682" i="12"/>
  <c r="AH681" i="12"/>
  <c r="AE681" i="12"/>
  <c r="I681" i="12"/>
  <c r="AH680" i="12"/>
  <c r="AE680" i="12"/>
  <c r="I680" i="12"/>
  <c r="AH679" i="12"/>
  <c r="AE679" i="12"/>
  <c r="I679" i="12"/>
  <c r="AH678" i="12"/>
  <c r="AE678" i="12"/>
  <c r="I678" i="12"/>
  <c r="AH677" i="12"/>
  <c r="AE677" i="12"/>
  <c r="I677" i="12"/>
  <c r="AH676" i="12"/>
  <c r="AE676" i="12"/>
  <c r="I676" i="12"/>
  <c r="AH675" i="12"/>
  <c r="AE675" i="12"/>
  <c r="I675" i="12"/>
  <c r="AH674" i="12"/>
  <c r="AE674" i="12"/>
  <c r="I674" i="12"/>
  <c r="AH673" i="12"/>
  <c r="AE673" i="12"/>
  <c r="I673" i="12"/>
  <c r="AH672" i="12"/>
  <c r="AE672" i="12"/>
  <c r="I672" i="12"/>
  <c r="AH671" i="12"/>
  <c r="AE671" i="12"/>
  <c r="I671" i="12"/>
  <c r="AH670" i="12"/>
  <c r="AE670" i="12"/>
  <c r="I670" i="12"/>
  <c r="AH669" i="12"/>
  <c r="AE669" i="12"/>
  <c r="I669" i="12"/>
  <c r="AH668" i="12"/>
  <c r="AE668" i="12"/>
  <c r="I668" i="12"/>
  <c r="AH667" i="12"/>
  <c r="AE667" i="12"/>
  <c r="I667" i="12"/>
  <c r="AH666" i="12"/>
  <c r="AE666" i="12"/>
  <c r="I666" i="12"/>
  <c r="AH665" i="12"/>
  <c r="AE665" i="12"/>
  <c r="I665" i="12"/>
  <c r="AH664" i="12"/>
  <c r="AE664" i="12"/>
  <c r="I664" i="12"/>
  <c r="AH663" i="12"/>
  <c r="AE663" i="12"/>
  <c r="I663" i="12"/>
  <c r="AH662" i="12"/>
  <c r="AE662" i="12"/>
  <c r="I662" i="12"/>
  <c r="AH661" i="12"/>
  <c r="AE661" i="12"/>
  <c r="I661" i="12"/>
  <c r="AH660" i="12"/>
  <c r="AE660" i="12"/>
  <c r="I660" i="12"/>
  <c r="AH659" i="12"/>
  <c r="AE659" i="12"/>
  <c r="I659" i="12"/>
  <c r="AH658" i="12"/>
  <c r="AE658" i="12"/>
  <c r="I658" i="12"/>
  <c r="AH657" i="12"/>
  <c r="AE657" i="12"/>
  <c r="I657" i="12"/>
  <c r="AH656" i="12"/>
  <c r="AE656" i="12"/>
  <c r="I656" i="12"/>
  <c r="AH655" i="12"/>
  <c r="AE655" i="12"/>
  <c r="I655" i="12"/>
  <c r="AH654" i="12"/>
  <c r="AE654" i="12"/>
  <c r="I654" i="12"/>
  <c r="AH653" i="12"/>
  <c r="AE653" i="12"/>
  <c r="I653" i="12"/>
  <c r="AH652" i="12"/>
  <c r="AE652" i="12"/>
  <c r="I652" i="12"/>
  <c r="AH651" i="12"/>
  <c r="AE651" i="12"/>
  <c r="I651" i="12"/>
  <c r="AH650" i="12"/>
  <c r="AE650" i="12"/>
  <c r="I650" i="12"/>
  <c r="AH649" i="12"/>
  <c r="AE649" i="12"/>
  <c r="I649" i="12"/>
  <c r="AH648" i="12"/>
  <c r="AE648" i="12"/>
  <c r="I648" i="12"/>
  <c r="AH647" i="12"/>
  <c r="AE647" i="12"/>
  <c r="I647" i="12"/>
  <c r="AH646" i="12"/>
  <c r="AE646" i="12"/>
  <c r="I646" i="12"/>
  <c r="AH645" i="12"/>
  <c r="AE645" i="12"/>
  <c r="I645" i="12"/>
  <c r="AH644" i="12"/>
  <c r="AE644" i="12"/>
  <c r="I644" i="12"/>
  <c r="AH643" i="12"/>
  <c r="AE643" i="12"/>
  <c r="I643" i="12"/>
  <c r="AH642" i="12"/>
  <c r="AE642" i="12"/>
  <c r="I642" i="12"/>
  <c r="AH641" i="12"/>
  <c r="AE641" i="12"/>
  <c r="I641" i="12"/>
  <c r="AH640" i="12"/>
  <c r="AE640" i="12"/>
  <c r="I640" i="12"/>
  <c r="AH639" i="12"/>
  <c r="AE639" i="12"/>
  <c r="I639" i="12"/>
  <c r="AH638" i="12"/>
  <c r="AE638" i="12"/>
  <c r="I638" i="12"/>
  <c r="AH637" i="12"/>
  <c r="AE637" i="12"/>
  <c r="I637" i="12"/>
  <c r="AH636" i="12"/>
  <c r="AE636" i="12"/>
  <c r="I636" i="12"/>
  <c r="AH635" i="12"/>
  <c r="AE635" i="12"/>
  <c r="I635" i="12"/>
  <c r="AH634" i="12"/>
  <c r="AE634" i="12"/>
  <c r="I634" i="12"/>
  <c r="AH633" i="12"/>
  <c r="AE633" i="12"/>
  <c r="I633" i="12"/>
  <c r="AH632" i="12"/>
  <c r="AE632" i="12"/>
  <c r="I632" i="12"/>
  <c r="AH631" i="12"/>
  <c r="AE631" i="12"/>
  <c r="I631" i="12"/>
  <c r="AH630" i="12"/>
  <c r="AE630" i="12"/>
  <c r="I630" i="12"/>
  <c r="AH629" i="12"/>
  <c r="AE629" i="12"/>
  <c r="I629" i="12"/>
  <c r="AH628" i="12"/>
  <c r="AE628" i="12"/>
  <c r="I628" i="12"/>
  <c r="AH627" i="12"/>
  <c r="AE627" i="12"/>
  <c r="I627" i="12"/>
  <c r="AH626" i="12"/>
  <c r="AE626" i="12"/>
  <c r="I626" i="12"/>
  <c r="AH625" i="12"/>
  <c r="AE625" i="12"/>
  <c r="I625" i="12"/>
  <c r="AH624" i="12"/>
  <c r="AE624" i="12"/>
  <c r="I624" i="12"/>
  <c r="AH623" i="12"/>
  <c r="AE623" i="12"/>
  <c r="I623" i="12"/>
  <c r="AH622" i="12"/>
  <c r="AE622" i="12"/>
  <c r="I622" i="12"/>
  <c r="AH621" i="12"/>
  <c r="AE621" i="12"/>
  <c r="I621" i="12"/>
  <c r="AH620" i="12"/>
  <c r="AE620" i="12"/>
  <c r="I620" i="12"/>
  <c r="AH619" i="12"/>
  <c r="AE619" i="12"/>
  <c r="I619" i="12"/>
  <c r="AH618" i="12"/>
  <c r="AE618" i="12"/>
  <c r="I618" i="12"/>
  <c r="AH617" i="12"/>
  <c r="AE617" i="12"/>
  <c r="I617" i="12"/>
  <c r="AH616" i="12"/>
  <c r="AE616" i="12"/>
  <c r="I616" i="12"/>
  <c r="AH615" i="12"/>
  <c r="AE615" i="12"/>
  <c r="I615" i="12"/>
  <c r="AH614" i="12"/>
  <c r="AE614" i="12"/>
  <c r="I614" i="12"/>
  <c r="AH613" i="12"/>
  <c r="AE613" i="12"/>
  <c r="I613" i="12"/>
  <c r="AH612" i="12"/>
  <c r="AE612" i="12"/>
  <c r="I612" i="12"/>
  <c r="AH611" i="12"/>
  <c r="AE611" i="12"/>
  <c r="I611" i="12"/>
  <c r="AH610" i="12"/>
  <c r="AE610" i="12"/>
  <c r="I610" i="12"/>
  <c r="AH609" i="12"/>
  <c r="AE609" i="12"/>
  <c r="I609" i="12"/>
  <c r="AH608" i="12"/>
  <c r="AE608" i="12"/>
  <c r="I608" i="12"/>
  <c r="AH607" i="12"/>
  <c r="AE607" i="12"/>
  <c r="I607" i="12"/>
  <c r="AH606" i="12"/>
  <c r="AE606" i="12"/>
  <c r="I606" i="12"/>
  <c r="AH605" i="12"/>
  <c r="AE605" i="12"/>
  <c r="I605" i="12"/>
  <c r="AH604" i="12"/>
  <c r="AE604" i="12"/>
  <c r="I604" i="12"/>
  <c r="AH603" i="12"/>
  <c r="AE603" i="12"/>
  <c r="I603" i="12"/>
  <c r="AH602" i="12"/>
  <c r="AE602" i="12"/>
  <c r="I602" i="12"/>
  <c r="AH601" i="12"/>
  <c r="AE601" i="12"/>
  <c r="I601" i="12"/>
  <c r="AH600" i="12"/>
  <c r="AE600" i="12"/>
  <c r="I600" i="12"/>
  <c r="AH599" i="12"/>
  <c r="AE599" i="12"/>
  <c r="I599" i="12"/>
  <c r="AH598" i="12"/>
  <c r="AE598" i="12"/>
  <c r="I598" i="12"/>
  <c r="AH597" i="12"/>
  <c r="AE597" i="12"/>
  <c r="I597" i="12"/>
  <c r="AH596" i="12"/>
  <c r="AE596" i="12"/>
  <c r="I596" i="12"/>
  <c r="AH595" i="12"/>
  <c r="AE595" i="12"/>
  <c r="I595" i="12"/>
  <c r="AH594" i="12"/>
  <c r="AE594" i="12"/>
  <c r="I594" i="12"/>
  <c r="AH593" i="12"/>
  <c r="AE593" i="12"/>
  <c r="I593" i="12"/>
  <c r="AH592" i="12"/>
  <c r="AE592" i="12"/>
  <c r="I592" i="12"/>
  <c r="AH591" i="12"/>
  <c r="AE591" i="12"/>
  <c r="I591" i="12"/>
  <c r="AH590" i="12"/>
  <c r="AE590" i="12"/>
  <c r="I590" i="12"/>
  <c r="AH589" i="12"/>
  <c r="AE589" i="12"/>
  <c r="I589" i="12"/>
  <c r="AH588" i="12"/>
  <c r="AE588" i="12"/>
  <c r="I588" i="12"/>
  <c r="AH587" i="12"/>
  <c r="AE587" i="12"/>
  <c r="I587" i="12"/>
  <c r="AH586" i="12"/>
  <c r="AE586" i="12"/>
  <c r="I586" i="12"/>
  <c r="AH585" i="12"/>
  <c r="AE585" i="12"/>
  <c r="I585" i="12"/>
  <c r="AH584" i="12"/>
  <c r="AE584" i="12"/>
  <c r="I584" i="12"/>
  <c r="AH583" i="12"/>
  <c r="AE583" i="12"/>
  <c r="I583" i="12"/>
  <c r="AH582" i="12"/>
  <c r="AE582" i="12"/>
  <c r="I582" i="12"/>
  <c r="AH581" i="12"/>
  <c r="AE581" i="12"/>
  <c r="I581" i="12"/>
  <c r="AH580" i="12"/>
  <c r="AE580" i="12"/>
  <c r="I580" i="12"/>
  <c r="AH579" i="12"/>
  <c r="AE579" i="12"/>
  <c r="I579" i="12"/>
  <c r="AH578" i="12"/>
  <c r="AE578" i="12"/>
  <c r="I578" i="12"/>
  <c r="AH577" i="12"/>
  <c r="AE577" i="12"/>
  <c r="I577" i="12"/>
  <c r="AH576" i="12"/>
  <c r="AE576" i="12"/>
  <c r="I576" i="12"/>
  <c r="AH575" i="12"/>
  <c r="AE575" i="12"/>
  <c r="I575" i="12"/>
  <c r="AH574" i="12"/>
  <c r="AE574" i="12"/>
  <c r="I574" i="12"/>
  <c r="AH573" i="12"/>
  <c r="AE573" i="12"/>
  <c r="I573" i="12"/>
  <c r="AH572" i="12"/>
  <c r="AE572" i="12"/>
  <c r="I572" i="12"/>
  <c r="AH571" i="12"/>
  <c r="AE571" i="12"/>
  <c r="I571" i="12"/>
  <c r="AH570" i="12"/>
  <c r="AE570" i="12"/>
  <c r="I570" i="12"/>
  <c r="AH569" i="12"/>
  <c r="AE569" i="12"/>
  <c r="I569" i="12"/>
  <c r="AH568" i="12"/>
  <c r="AE568" i="12"/>
  <c r="I568" i="12"/>
  <c r="AH567" i="12"/>
  <c r="AE567" i="12"/>
  <c r="I567" i="12"/>
  <c r="AH566" i="12"/>
  <c r="AE566" i="12"/>
  <c r="I566" i="12"/>
  <c r="AH565" i="12"/>
  <c r="AE565" i="12"/>
  <c r="I565" i="12"/>
  <c r="AH564" i="12"/>
  <c r="AE564" i="12"/>
  <c r="I564" i="12"/>
  <c r="AH563" i="12"/>
  <c r="AE563" i="12"/>
  <c r="I563" i="12"/>
  <c r="AH562" i="12"/>
  <c r="AE562" i="12"/>
  <c r="I562" i="12"/>
  <c r="AH561" i="12"/>
  <c r="AE561" i="12"/>
  <c r="I561" i="12"/>
  <c r="AH560" i="12"/>
  <c r="AE560" i="12"/>
  <c r="I560" i="12"/>
  <c r="AH559" i="12"/>
  <c r="AE559" i="12"/>
  <c r="I559" i="12"/>
  <c r="AH558" i="12"/>
  <c r="AE558" i="12"/>
  <c r="I558" i="12"/>
  <c r="AH557" i="12"/>
  <c r="AE557" i="12"/>
  <c r="I557" i="12"/>
  <c r="AH556" i="12"/>
  <c r="AE556" i="12"/>
  <c r="I556" i="12"/>
  <c r="AH555" i="12"/>
  <c r="AE555" i="12"/>
  <c r="I555" i="12"/>
  <c r="AH554" i="12"/>
  <c r="AE554" i="12"/>
  <c r="I554" i="12"/>
  <c r="AH553" i="12"/>
  <c r="AE553" i="12"/>
  <c r="I553" i="12"/>
  <c r="AH552" i="12"/>
  <c r="AE552" i="12"/>
  <c r="I552" i="12"/>
  <c r="AH551" i="12"/>
  <c r="AE551" i="12"/>
  <c r="I551" i="12"/>
  <c r="AH550" i="12"/>
  <c r="AE550" i="12"/>
  <c r="I550" i="12"/>
  <c r="AH549" i="12"/>
  <c r="AE549" i="12"/>
  <c r="I549" i="12"/>
  <c r="AH548" i="12"/>
  <c r="AE548" i="12"/>
  <c r="I548" i="12"/>
  <c r="AH547" i="12"/>
  <c r="AE547" i="12"/>
  <c r="I547" i="12"/>
  <c r="AH546" i="12"/>
  <c r="AE546" i="12"/>
  <c r="I546" i="12"/>
  <c r="AH545" i="12"/>
  <c r="AE545" i="12"/>
  <c r="I545" i="12"/>
  <c r="AH544" i="12"/>
  <c r="AE544" i="12"/>
  <c r="I544" i="12"/>
  <c r="AH543" i="12"/>
  <c r="AE543" i="12"/>
  <c r="I543" i="12"/>
  <c r="AH542" i="12"/>
  <c r="AE542" i="12"/>
  <c r="I542" i="12"/>
  <c r="AH541" i="12"/>
  <c r="AE541" i="12"/>
  <c r="I541" i="12"/>
  <c r="AH540" i="12"/>
  <c r="AE540" i="12"/>
  <c r="I540" i="12"/>
  <c r="AH539" i="12"/>
  <c r="AE539" i="12"/>
  <c r="I539" i="12"/>
  <c r="AH538" i="12"/>
  <c r="AE538" i="12"/>
  <c r="I538" i="12"/>
  <c r="AH537" i="12"/>
  <c r="AE537" i="12"/>
  <c r="I537" i="12"/>
  <c r="AH536" i="12"/>
  <c r="AE536" i="12"/>
  <c r="I536" i="12"/>
  <c r="AH535" i="12"/>
  <c r="AE535" i="12"/>
  <c r="I535" i="12"/>
  <c r="AH534" i="12"/>
  <c r="AE534" i="12"/>
  <c r="I534" i="12"/>
  <c r="AH533" i="12"/>
  <c r="AE533" i="12"/>
  <c r="I533" i="12"/>
  <c r="AH532" i="12"/>
  <c r="AE532" i="12"/>
  <c r="I532" i="12"/>
  <c r="AH531" i="12"/>
  <c r="AE531" i="12"/>
  <c r="I531" i="12"/>
  <c r="AH530" i="12"/>
  <c r="AE530" i="12"/>
  <c r="I530" i="12"/>
  <c r="AH529" i="12"/>
  <c r="AE529" i="12"/>
  <c r="I529" i="12"/>
  <c r="AH528" i="12"/>
  <c r="AE528" i="12"/>
  <c r="I528" i="12"/>
  <c r="AH527" i="12"/>
  <c r="AE527" i="12"/>
  <c r="I527" i="12"/>
  <c r="AH526" i="12"/>
  <c r="AE526" i="12"/>
  <c r="I526" i="12"/>
  <c r="AH525" i="12"/>
  <c r="AE525" i="12"/>
  <c r="I525" i="12"/>
  <c r="AH524" i="12"/>
  <c r="AE524" i="12"/>
  <c r="I524" i="12"/>
  <c r="AH523" i="12"/>
  <c r="AE523" i="12"/>
  <c r="I523" i="12"/>
  <c r="AH522" i="12"/>
  <c r="AE522" i="12"/>
  <c r="I522" i="12"/>
  <c r="AH521" i="12"/>
  <c r="AE521" i="12"/>
  <c r="I521" i="12"/>
  <c r="AH520" i="12"/>
  <c r="AE520" i="12"/>
  <c r="I520" i="12"/>
  <c r="AH519" i="12"/>
  <c r="AE519" i="12"/>
  <c r="I519" i="12"/>
  <c r="AH518" i="12"/>
  <c r="AE518" i="12"/>
  <c r="I518" i="12"/>
  <c r="AH517" i="12"/>
  <c r="AE517" i="12"/>
  <c r="I517" i="12"/>
  <c r="AH516" i="12"/>
  <c r="AE516" i="12"/>
  <c r="I516" i="12"/>
  <c r="AH515" i="12"/>
  <c r="AE515" i="12"/>
  <c r="I515" i="12"/>
  <c r="AH514" i="12"/>
  <c r="AE514" i="12"/>
  <c r="I514" i="12"/>
  <c r="AH513" i="12"/>
  <c r="AE513" i="12"/>
  <c r="I513" i="12"/>
  <c r="AH512" i="12"/>
  <c r="AE512" i="12"/>
  <c r="I512" i="12"/>
  <c r="AH511" i="12"/>
  <c r="AE511" i="12"/>
  <c r="I511" i="12"/>
  <c r="AH510" i="12"/>
  <c r="AE510" i="12"/>
  <c r="I510" i="12"/>
  <c r="AH509" i="12"/>
  <c r="AE509" i="12"/>
  <c r="I509" i="12"/>
  <c r="AH508" i="12"/>
  <c r="AE508" i="12"/>
  <c r="I508" i="12"/>
  <c r="AH507" i="12"/>
  <c r="AE507" i="12"/>
  <c r="I507" i="12"/>
  <c r="AH506" i="12"/>
  <c r="AE506" i="12"/>
  <c r="I506" i="12"/>
  <c r="AH505" i="12"/>
  <c r="AE505" i="12"/>
  <c r="I505" i="12"/>
  <c r="AH504" i="12"/>
  <c r="AE504" i="12"/>
  <c r="I504" i="12"/>
  <c r="AH503" i="12"/>
  <c r="AE503" i="12"/>
  <c r="I503" i="12"/>
  <c r="AH502" i="12"/>
  <c r="AE502" i="12"/>
  <c r="I502" i="12"/>
  <c r="AH501" i="12"/>
  <c r="AE501" i="12"/>
  <c r="I501" i="12"/>
  <c r="AH500" i="12"/>
  <c r="AE500" i="12"/>
  <c r="I500" i="12"/>
  <c r="AH499" i="12"/>
  <c r="AE499" i="12"/>
  <c r="I499" i="12"/>
  <c r="AH498" i="12"/>
  <c r="AE498" i="12"/>
  <c r="I498" i="12"/>
  <c r="AH497" i="12"/>
  <c r="AE497" i="12"/>
  <c r="I497" i="12"/>
  <c r="AH496" i="12"/>
  <c r="AE496" i="12"/>
  <c r="I496" i="12"/>
  <c r="AH495" i="12"/>
  <c r="AE495" i="12"/>
  <c r="I495" i="12"/>
  <c r="AH494" i="12"/>
  <c r="AE494" i="12"/>
  <c r="I494" i="12"/>
  <c r="AH493" i="12"/>
  <c r="AE493" i="12"/>
  <c r="I493" i="12"/>
  <c r="AH492" i="12"/>
  <c r="AE492" i="12"/>
  <c r="I492" i="12"/>
  <c r="AH491" i="12"/>
  <c r="AE491" i="12"/>
  <c r="I491" i="12"/>
  <c r="AH490" i="12"/>
  <c r="AE490" i="12"/>
  <c r="I490" i="12"/>
  <c r="AH489" i="12"/>
  <c r="AE489" i="12"/>
  <c r="I489" i="12"/>
  <c r="AH488" i="12"/>
  <c r="AE488" i="12"/>
  <c r="I488" i="12"/>
  <c r="AH487" i="12"/>
  <c r="AE487" i="12"/>
  <c r="I487" i="12"/>
  <c r="AH486" i="12"/>
  <c r="AE486" i="12"/>
  <c r="I486" i="12"/>
  <c r="AH485" i="12"/>
  <c r="AE485" i="12"/>
  <c r="I485" i="12"/>
  <c r="AH484" i="12"/>
  <c r="AE484" i="12"/>
  <c r="I484" i="12"/>
  <c r="AH483" i="12"/>
  <c r="AE483" i="12"/>
  <c r="I483" i="12"/>
  <c r="AH482" i="12"/>
  <c r="AE482" i="12"/>
  <c r="I482" i="12"/>
  <c r="AH481" i="12"/>
  <c r="AE481" i="12"/>
  <c r="I481" i="12"/>
  <c r="AH480" i="12"/>
  <c r="AE480" i="12"/>
  <c r="I480" i="12"/>
  <c r="AH479" i="12"/>
  <c r="AE479" i="12"/>
  <c r="I479" i="12"/>
  <c r="AH478" i="12"/>
  <c r="AE478" i="12"/>
  <c r="I478" i="12"/>
  <c r="AH477" i="12"/>
  <c r="AE477" i="12"/>
  <c r="I477" i="12"/>
  <c r="AH476" i="12"/>
  <c r="AE476" i="12"/>
  <c r="I476" i="12"/>
  <c r="AH475" i="12"/>
  <c r="AE475" i="12"/>
  <c r="I475" i="12"/>
  <c r="AH474" i="12"/>
  <c r="AE474" i="12"/>
  <c r="I474" i="12"/>
  <c r="AH473" i="12"/>
  <c r="AE473" i="12"/>
  <c r="I473" i="12"/>
  <c r="AH472" i="12"/>
  <c r="AE472" i="12"/>
  <c r="I472" i="12"/>
  <c r="AH471" i="12"/>
  <c r="AE471" i="12"/>
  <c r="I471" i="12"/>
  <c r="AH470" i="12"/>
  <c r="AE470" i="12"/>
  <c r="I470" i="12"/>
  <c r="AH469" i="12"/>
  <c r="AE469" i="12"/>
  <c r="I469" i="12"/>
  <c r="AH468" i="12"/>
  <c r="AE468" i="12"/>
  <c r="I468" i="12"/>
  <c r="AH467" i="12"/>
  <c r="AE467" i="12"/>
  <c r="I467" i="12"/>
  <c r="AH466" i="12"/>
  <c r="AE466" i="12"/>
  <c r="I466" i="12"/>
  <c r="AH465" i="12"/>
  <c r="AE465" i="12"/>
  <c r="I465" i="12"/>
  <c r="AH464" i="12"/>
  <c r="AE464" i="12"/>
  <c r="I464" i="12"/>
  <c r="AH463" i="12"/>
  <c r="AE463" i="12"/>
  <c r="I463" i="12"/>
  <c r="AH462" i="12"/>
  <c r="AE462" i="12"/>
  <c r="I462" i="12"/>
  <c r="AH461" i="12"/>
  <c r="AE461" i="12"/>
  <c r="I461" i="12"/>
  <c r="AH460" i="12"/>
  <c r="AE460" i="12"/>
  <c r="I460" i="12"/>
  <c r="AH459" i="12"/>
  <c r="AE459" i="12"/>
  <c r="I459" i="12"/>
  <c r="AH458" i="12"/>
  <c r="AE458" i="12"/>
  <c r="I458" i="12"/>
  <c r="AH457" i="12"/>
  <c r="AE457" i="12"/>
  <c r="I457" i="12"/>
  <c r="AH456" i="12"/>
  <c r="AE456" i="12"/>
  <c r="I456" i="12"/>
  <c r="AH455" i="12"/>
  <c r="AE455" i="12"/>
  <c r="I455" i="12"/>
  <c r="AH454" i="12"/>
  <c r="AE454" i="12"/>
  <c r="I454" i="12"/>
  <c r="AH453" i="12"/>
  <c r="AE453" i="12"/>
  <c r="I453" i="12"/>
  <c r="AH452" i="12"/>
  <c r="AE452" i="12"/>
  <c r="I452" i="12"/>
  <c r="AH451" i="12"/>
  <c r="AE451" i="12"/>
  <c r="I451" i="12"/>
  <c r="AH450" i="12"/>
  <c r="AE450" i="12"/>
  <c r="I450" i="12"/>
  <c r="AH449" i="12"/>
  <c r="AE449" i="12"/>
  <c r="I449" i="12"/>
  <c r="AH448" i="12"/>
  <c r="AE448" i="12"/>
  <c r="I448" i="12"/>
  <c r="AH447" i="12"/>
  <c r="AE447" i="12"/>
  <c r="I447" i="12"/>
  <c r="AH446" i="12"/>
  <c r="AE446" i="12"/>
  <c r="I446" i="12"/>
  <c r="AH445" i="12"/>
  <c r="AE445" i="12"/>
  <c r="I445" i="12"/>
  <c r="AH444" i="12"/>
  <c r="AE444" i="12"/>
  <c r="I444" i="12"/>
  <c r="AH443" i="12"/>
  <c r="AE443" i="12"/>
  <c r="I443" i="12"/>
  <c r="AH442" i="12"/>
  <c r="AE442" i="12"/>
  <c r="I442" i="12"/>
  <c r="AH441" i="12"/>
  <c r="AE441" i="12"/>
  <c r="I441" i="12"/>
  <c r="AH440" i="12"/>
  <c r="AE440" i="12"/>
  <c r="I440" i="12"/>
  <c r="AH439" i="12"/>
  <c r="AE439" i="12"/>
  <c r="I439" i="12"/>
  <c r="AH438" i="12"/>
  <c r="AE438" i="12"/>
  <c r="I438" i="12"/>
  <c r="AH437" i="12"/>
  <c r="AE437" i="12"/>
  <c r="I437" i="12"/>
  <c r="AH436" i="12"/>
  <c r="AE436" i="12"/>
  <c r="I436" i="12"/>
  <c r="AH435" i="12"/>
  <c r="AE435" i="12"/>
  <c r="I435" i="12"/>
  <c r="AH434" i="12"/>
  <c r="AE434" i="12"/>
  <c r="I434" i="12"/>
  <c r="AH433" i="12"/>
  <c r="AE433" i="12"/>
  <c r="I433" i="12"/>
  <c r="AH432" i="12"/>
  <c r="AE432" i="12"/>
  <c r="I432" i="12"/>
  <c r="AH431" i="12"/>
  <c r="AE431" i="12"/>
  <c r="I431" i="12"/>
  <c r="AH430" i="12"/>
  <c r="AE430" i="12"/>
  <c r="I430" i="12"/>
  <c r="AH429" i="12"/>
  <c r="AE429" i="12"/>
  <c r="I429" i="12"/>
  <c r="AH428" i="12"/>
  <c r="AE428" i="12"/>
  <c r="I428" i="12"/>
  <c r="AH427" i="12"/>
  <c r="AE427" i="12"/>
  <c r="I427" i="12"/>
  <c r="AH426" i="12"/>
  <c r="AE426" i="12"/>
  <c r="I426" i="12"/>
  <c r="AH425" i="12"/>
  <c r="AE425" i="12"/>
  <c r="I425" i="12"/>
  <c r="AH424" i="12"/>
  <c r="AE424" i="12"/>
  <c r="I424" i="12"/>
  <c r="AH423" i="12"/>
  <c r="AE423" i="12"/>
  <c r="I423" i="12"/>
  <c r="AH422" i="12"/>
  <c r="AE422" i="12"/>
  <c r="I422" i="12"/>
  <c r="AH421" i="12"/>
  <c r="AE421" i="12"/>
  <c r="I421" i="12"/>
  <c r="AH420" i="12"/>
  <c r="AE420" i="12"/>
  <c r="I420" i="12"/>
  <c r="AH419" i="12"/>
  <c r="AE419" i="12"/>
  <c r="I419" i="12"/>
  <c r="AH418" i="12"/>
  <c r="AE418" i="12"/>
  <c r="I418" i="12"/>
  <c r="AH417" i="12"/>
  <c r="AE417" i="12"/>
  <c r="I417" i="12"/>
  <c r="AH416" i="12"/>
  <c r="AE416" i="12"/>
  <c r="I416" i="12"/>
  <c r="AH415" i="12"/>
  <c r="AE415" i="12"/>
  <c r="I415" i="12"/>
  <c r="AH414" i="12"/>
  <c r="AE414" i="12"/>
  <c r="I414" i="12"/>
  <c r="AH413" i="12"/>
  <c r="AE413" i="12"/>
  <c r="I413" i="12"/>
  <c r="AH412" i="12"/>
  <c r="AE412" i="12"/>
  <c r="I412" i="12"/>
  <c r="AH411" i="12"/>
  <c r="AE411" i="12"/>
  <c r="I411" i="12"/>
  <c r="AH410" i="12"/>
  <c r="AE410" i="12"/>
  <c r="I410" i="12"/>
  <c r="AH409" i="12"/>
  <c r="AE409" i="12"/>
  <c r="I409" i="12"/>
  <c r="AH408" i="12"/>
  <c r="AE408" i="12"/>
  <c r="I408" i="12"/>
  <c r="AH407" i="12"/>
  <c r="AE407" i="12"/>
  <c r="I407" i="12"/>
  <c r="AH406" i="12"/>
  <c r="AE406" i="12"/>
  <c r="I406" i="12"/>
  <c r="AH405" i="12"/>
  <c r="AE405" i="12"/>
  <c r="I405" i="12"/>
  <c r="AH404" i="12"/>
  <c r="AE404" i="12"/>
  <c r="I404" i="12"/>
  <c r="AH403" i="12"/>
  <c r="AE403" i="12"/>
  <c r="I403" i="12"/>
  <c r="AH402" i="12"/>
  <c r="AE402" i="12"/>
  <c r="I402" i="12"/>
  <c r="AH401" i="12"/>
  <c r="AE401" i="12"/>
  <c r="I401" i="12"/>
  <c r="AH400" i="12"/>
  <c r="AE400" i="12"/>
  <c r="I400" i="12"/>
  <c r="AH399" i="12"/>
  <c r="AE399" i="12"/>
  <c r="I399" i="12"/>
  <c r="AH398" i="12"/>
  <c r="AE398" i="12"/>
  <c r="I398" i="12"/>
  <c r="AH397" i="12"/>
  <c r="AE397" i="12"/>
  <c r="I397" i="12"/>
  <c r="AH396" i="12"/>
  <c r="AE396" i="12"/>
  <c r="I396" i="12"/>
  <c r="AH395" i="12"/>
  <c r="AE395" i="12"/>
  <c r="I395" i="12"/>
  <c r="AH394" i="12"/>
  <c r="AE394" i="12"/>
  <c r="I394" i="12"/>
  <c r="AH393" i="12"/>
  <c r="AE393" i="12"/>
  <c r="I393" i="12"/>
  <c r="AH392" i="12"/>
  <c r="AE392" i="12"/>
  <c r="I392" i="12"/>
  <c r="AH391" i="12"/>
  <c r="AE391" i="12"/>
  <c r="I391" i="12"/>
  <c r="AH390" i="12"/>
  <c r="AE390" i="12"/>
  <c r="I390" i="12"/>
  <c r="AH389" i="12"/>
  <c r="AE389" i="12"/>
  <c r="I389" i="12"/>
  <c r="AH388" i="12"/>
  <c r="AE388" i="12"/>
  <c r="I388" i="12"/>
  <c r="AH387" i="12"/>
  <c r="AE387" i="12"/>
  <c r="I387" i="12"/>
  <c r="AH386" i="12"/>
  <c r="AE386" i="12"/>
  <c r="I386" i="12"/>
  <c r="AH385" i="12"/>
  <c r="AE385" i="12"/>
  <c r="I385" i="12"/>
  <c r="AH384" i="12"/>
  <c r="AE384" i="12"/>
  <c r="I384" i="12"/>
  <c r="AH383" i="12"/>
  <c r="AE383" i="12"/>
  <c r="I383" i="12"/>
  <c r="AH382" i="12"/>
  <c r="AE382" i="12"/>
  <c r="I382" i="12"/>
  <c r="AH381" i="12"/>
  <c r="AE381" i="12"/>
  <c r="I381" i="12"/>
  <c r="AH380" i="12"/>
  <c r="AE380" i="12"/>
  <c r="I380" i="12"/>
  <c r="AH379" i="12"/>
  <c r="AE379" i="12"/>
  <c r="I379" i="12"/>
  <c r="AH378" i="12"/>
  <c r="AE378" i="12"/>
  <c r="I378" i="12"/>
  <c r="AH377" i="12"/>
  <c r="AE377" i="12"/>
  <c r="I377" i="12"/>
  <c r="AH376" i="12"/>
  <c r="AE376" i="12"/>
  <c r="I376" i="12"/>
  <c r="AH375" i="12"/>
  <c r="AE375" i="12"/>
  <c r="I375" i="12"/>
  <c r="AH374" i="12"/>
  <c r="AE374" i="12"/>
  <c r="I374" i="12"/>
  <c r="AH373" i="12"/>
  <c r="AE373" i="12"/>
  <c r="I373" i="12"/>
  <c r="AH372" i="12"/>
  <c r="AE372" i="12"/>
  <c r="I372" i="12"/>
  <c r="AH371" i="12"/>
  <c r="AE371" i="12"/>
  <c r="I371" i="12"/>
  <c r="AH370" i="12"/>
  <c r="AE370" i="12"/>
  <c r="I370" i="12"/>
  <c r="AH369" i="12"/>
  <c r="AE369" i="12"/>
  <c r="I369" i="12"/>
  <c r="AH368" i="12"/>
  <c r="AE368" i="12"/>
  <c r="I368" i="12"/>
  <c r="AH367" i="12"/>
  <c r="AE367" i="12"/>
  <c r="I367" i="12"/>
  <c r="AH366" i="12"/>
  <c r="AE366" i="12"/>
  <c r="I366" i="12"/>
  <c r="AH365" i="12"/>
  <c r="AE365" i="12"/>
  <c r="I365" i="12"/>
  <c r="AH364" i="12"/>
  <c r="AE364" i="12"/>
  <c r="I364" i="12"/>
  <c r="AH363" i="12"/>
  <c r="AE363" i="12"/>
  <c r="I363" i="12"/>
  <c r="AH362" i="12"/>
  <c r="AE362" i="12"/>
  <c r="I362" i="12"/>
  <c r="AH361" i="12"/>
  <c r="AE361" i="12"/>
  <c r="I361" i="12"/>
  <c r="AH360" i="12"/>
  <c r="AE360" i="12"/>
  <c r="I360" i="12"/>
  <c r="AH359" i="12"/>
  <c r="AE359" i="12"/>
  <c r="I359" i="12"/>
  <c r="AH358" i="12"/>
  <c r="AE358" i="12"/>
  <c r="I358" i="12"/>
  <c r="AH357" i="12"/>
  <c r="AE357" i="12"/>
  <c r="I357" i="12"/>
  <c r="AH356" i="12"/>
  <c r="AE356" i="12"/>
  <c r="I356" i="12"/>
  <c r="AH355" i="12"/>
  <c r="AE355" i="12"/>
  <c r="I355" i="12"/>
  <c r="AH354" i="12"/>
  <c r="AE354" i="12"/>
  <c r="I354" i="12"/>
  <c r="AH353" i="12"/>
  <c r="AE353" i="12"/>
  <c r="I353" i="12"/>
  <c r="AH352" i="12"/>
  <c r="AE352" i="12"/>
  <c r="I352" i="12"/>
  <c r="AH351" i="12"/>
  <c r="AE351" i="12"/>
  <c r="I351" i="12"/>
  <c r="AH350" i="12"/>
  <c r="AE350" i="12"/>
  <c r="I350" i="12"/>
  <c r="AH349" i="12"/>
  <c r="AE349" i="12"/>
  <c r="I349" i="12"/>
  <c r="AH348" i="12"/>
  <c r="AE348" i="12"/>
  <c r="I348" i="12"/>
  <c r="AH347" i="12"/>
  <c r="AE347" i="12"/>
  <c r="I347" i="12"/>
  <c r="AH346" i="12"/>
  <c r="AE346" i="12"/>
  <c r="I346" i="12"/>
  <c r="AH345" i="12"/>
  <c r="AE345" i="12"/>
  <c r="I345" i="12"/>
  <c r="AH344" i="12"/>
  <c r="AE344" i="12"/>
  <c r="I344" i="12"/>
  <c r="AH343" i="12"/>
  <c r="AE343" i="12"/>
  <c r="I343" i="12"/>
  <c r="AH342" i="12"/>
  <c r="AE342" i="12"/>
  <c r="I342" i="12"/>
  <c r="AH341" i="12"/>
  <c r="AE341" i="12"/>
  <c r="I341" i="12"/>
  <c r="AH340" i="12"/>
  <c r="AE340" i="12"/>
  <c r="I340" i="12"/>
  <c r="AH339" i="12"/>
  <c r="AE339" i="12"/>
  <c r="I339" i="12"/>
  <c r="AH338" i="12"/>
  <c r="AE338" i="12"/>
  <c r="I338" i="12"/>
  <c r="AH337" i="12"/>
  <c r="AE337" i="12"/>
  <c r="I337" i="12"/>
  <c r="AH336" i="12"/>
  <c r="AE336" i="12"/>
  <c r="I336" i="12"/>
  <c r="AH335" i="12"/>
  <c r="AE335" i="12"/>
  <c r="I335" i="12"/>
  <c r="AH334" i="12"/>
  <c r="AE334" i="12"/>
  <c r="I334" i="12"/>
  <c r="AH333" i="12"/>
  <c r="AE333" i="12"/>
  <c r="I333" i="12"/>
  <c r="AH332" i="12"/>
  <c r="AE332" i="12"/>
  <c r="I332" i="12"/>
  <c r="AH331" i="12"/>
  <c r="AE331" i="12"/>
  <c r="I331" i="12"/>
  <c r="AH330" i="12"/>
  <c r="AE330" i="12"/>
  <c r="I330" i="12"/>
  <c r="AH329" i="12"/>
  <c r="AE329" i="12"/>
  <c r="I329" i="12"/>
  <c r="AH328" i="12"/>
  <c r="AE328" i="12"/>
  <c r="I328" i="12"/>
  <c r="AH327" i="12"/>
  <c r="AE327" i="12"/>
  <c r="I327" i="12"/>
  <c r="AH326" i="12"/>
  <c r="AE326" i="12"/>
  <c r="I326" i="12"/>
  <c r="AH325" i="12"/>
  <c r="AE325" i="12"/>
  <c r="I325" i="12"/>
  <c r="AH324" i="12"/>
  <c r="AE324" i="12"/>
  <c r="I324" i="12"/>
  <c r="AH323" i="12"/>
  <c r="AE323" i="12"/>
  <c r="I323" i="12"/>
  <c r="AH322" i="12"/>
  <c r="AE322" i="12"/>
  <c r="I322" i="12"/>
  <c r="AH321" i="12"/>
  <c r="AE321" i="12"/>
  <c r="I321" i="12"/>
  <c r="AH320" i="12"/>
  <c r="AE320" i="12"/>
  <c r="I320" i="12"/>
  <c r="AH319" i="12"/>
  <c r="AE319" i="12"/>
  <c r="I319" i="12"/>
  <c r="AH318" i="12"/>
  <c r="AE318" i="12"/>
  <c r="I318" i="12"/>
  <c r="AH317" i="12"/>
  <c r="AE317" i="12"/>
  <c r="I317" i="12"/>
  <c r="AH316" i="12"/>
  <c r="AE316" i="12"/>
  <c r="I316" i="12"/>
  <c r="AH315" i="12"/>
  <c r="AE315" i="12"/>
  <c r="I315" i="12"/>
  <c r="AH314" i="12"/>
  <c r="AE314" i="12"/>
  <c r="I314" i="12"/>
  <c r="AH313" i="12"/>
  <c r="AE313" i="12"/>
  <c r="I313" i="12"/>
  <c r="AH312" i="12"/>
  <c r="AE312" i="12"/>
  <c r="I312" i="12"/>
  <c r="AH311" i="12"/>
  <c r="AE311" i="12"/>
  <c r="I311" i="12"/>
  <c r="AH310" i="12"/>
  <c r="AE310" i="12"/>
  <c r="I310" i="12"/>
  <c r="AH309" i="12"/>
  <c r="AE309" i="12"/>
  <c r="I309" i="12"/>
  <c r="AH308" i="12"/>
  <c r="AE308" i="12"/>
  <c r="I308" i="12"/>
  <c r="AH307" i="12"/>
  <c r="AE307" i="12"/>
  <c r="I307" i="12"/>
  <c r="AH306" i="12"/>
  <c r="AE306" i="12"/>
  <c r="I306" i="12"/>
  <c r="AH305" i="12"/>
  <c r="AE305" i="12"/>
  <c r="I305" i="12"/>
  <c r="AH304" i="12"/>
  <c r="AE304" i="12"/>
  <c r="I304" i="12"/>
  <c r="AH303" i="12"/>
  <c r="AE303" i="12"/>
  <c r="I303" i="12"/>
  <c r="AH302" i="12"/>
  <c r="AE302" i="12"/>
  <c r="I302" i="12"/>
  <c r="AH301" i="12"/>
  <c r="AE301" i="12"/>
  <c r="I301" i="12"/>
  <c r="AH300" i="12"/>
  <c r="AE300" i="12"/>
  <c r="I300" i="12"/>
  <c r="AH299" i="12"/>
  <c r="AE299" i="12"/>
  <c r="I299" i="12"/>
  <c r="AH298" i="12"/>
  <c r="AE298" i="12"/>
  <c r="I298" i="12"/>
  <c r="AH297" i="12"/>
  <c r="AE297" i="12"/>
  <c r="I297" i="12"/>
  <c r="AH296" i="12"/>
  <c r="AE296" i="12"/>
  <c r="I296" i="12"/>
  <c r="AH295" i="12"/>
  <c r="AE295" i="12"/>
  <c r="I295" i="12"/>
  <c r="AH294" i="12"/>
  <c r="AE294" i="12"/>
  <c r="I294" i="12"/>
  <c r="AH293" i="12"/>
  <c r="AE293" i="12"/>
  <c r="I293" i="12"/>
  <c r="AH292" i="12"/>
  <c r="AE292" i="12"/>
  <c r="I292" i="12"/>
  <c r="AH291" i="12"/>
  <c r="AE291" i="12"/>
  <c r="I291" i="12"/>
  <c r="AH290" i="12"/>
  <c r="AE290" i="12"/>
  <c r="I290" i="12"/>
  <c r="AH289" i="12"/>
  <c r="AE289" i="12"/>
  <c r="I289" i="12"/>
  <c r="AH288" i="12"/>
  <c r="AE288" i="12"/>
  <c r="I288" i="12"/>
  <c r="AH287" i="12"/>
  <c r="AE287" i="12"/>
  <c r="I287" i="12"/>
  <c r="AH286" i="12"/>
  <c r="AE286" i="12"/>
  <c r="I286" i="12"/>
  <c r="AH285" i="12"/>
  <c r="AE285" i="12"/>
  <c r="I285" i="12"/>
  <c r="AH284" i="12"/>
  <c r="AE284" i="12"/>
  <c r="I284" i="12"/>
  <c r="AH283" i="12"/>
  <c r="AE283" i="12"/>
  <c r="I283" i="12"/>
  <c r="AH282" i="12"/>
  <c r="AE282" i="12"/>
  <c r="I282" i="12"/>
  <c r="AH281" i="12"/>
  <c r="AE281" i="12"/>
  <c r="I281" i="12"/>
  <c r="AH280" i="12"/>
  <c r="AE280" i="12"/>
  <c r="I280" i="12"/>
  <c r="AH279" i="12"/>
  <c r="AE279" i="12"/>
  <c r="I279" i="12"/>
  <c r="AH278" i="12"/>
  <c r="AE278" i="12"/>
  <c r="I278" i="12"/>
  <c r="AH277" i="12"/>
  <c r="AE277" i="12"/>
  <c r="I277" i="12"/>
  <c r="AH276" i="12"/>
  <c r="AE276" i="12"/>
  <c r="I276" i="12"/>
  <c r="AH275" i="12"/>
  <c r="AE275" i="12"/>
  <c r="I275" i="12"/>
  <c r="AH274" i="12"/>
  <c r="AE274" i="12"/>
  <c r="I274" i="12"/>
  <c r="AH273" i="12"/>
  <c r="AE273" i="12"/>
  <c r="I273" i="12"/>
  <c r="AH272" i="12"/>
  <c r="AE272" i="12"/>
  <c r="I272" i="12"/>
  <c r="AH271" i="12"/>
  <c r="AE271" i="12"/>
  <c r="I271" i="12"/>
  <c r="AH270" i="12"/>
  <c r="AE270" i="12"/>
  <c r="I270" i="12"/>
  <c r="AH269" i="12"/>
  <c r="AE269" i="12"/>
  <c r="I269" i="12"/>
  <c r="AH268" i="12"/>
  <c r="AE268" i="12"/>
  <c r="I268" i="12"/>
  <c r="AH267" i="12"/>
  <c r="AE267" i="12"/>
  <c r="I267" i="12"/>
  <c r="AH266" i="12"/>
  <c r="AE266" i="12"/>
  <c r="I266" i="12"/>
  <c r="AH265" i="12"/>
  <c r="AE265" i="12"/>
  <c r="I265" i="12"/>
  <c r="AH264" i="12"/>
  <c r="AE264" i="12"/>
  <c r="I264" i="12"/>
  <c r="AH263" i="12"/>
  <c r="AE263" i="12"/>
  <c r="I263" i="12"/>
  <c r="AH262" i="12"/>
  <c r="AE262" i="12"/>
  <c r="I262" i="12"/>
  <c r="AH261" i="12"/>
  <c r="AE261" i="12"/>
  <c r="I261" i="12"/>
  <c r="AH260" i="12"/>
  <c r="AE260" i="12"/>
  <c r="I260" i="12"/>
  <c r="AH259" i="12"/>
  <c r="AE259" i="12"/>
  <c r="I259" i="12"/>
  <c r="AH258" i="12"/>
  <c r="AE258" i="12"/>
  <c r="I258" i="12"/>
  <c r="AH257" i="12"/>
  <c r="AE257" i="12"/>
  <c r="I257" i="12"/>
  <c r="AH256" i="12"/>
  <c r="AE256" i="12"/>
  <c r="I256" i="12"/>
  <c r="AH255" i="12"/>
  <c r="AE255" i="12"/>
  <c r="I255" i="12"/>
  <c r="AH254" i="12"/>
  <c r="AE254" i="12"/>
  <c r="I254" i="12"/>
  <c r="AH253" i="12"/>
  <c r="AE253" i="12"/>
  <c r="I253" i="12"/>
  <c r="AH252" i="12"/>
  <c r="AE252" i="12"/>
  <c r="I252" i="12"/>
  <c r="AH251" i="12"/>
  <c r="AE251" i="12"/>
  <c r="I251" i="12"/>
  <c r="AH250" i="12"/>
  <c r="AE250" i="12"/>
  <c r="I250" i="12"/>
  <c r="AH249" i="12"/>
  <c r="AE249" i="12"/>
  <c r="I249" i="12"/>
  <c r="AH248" i="12"/>
  <c r="AE248" i="12"/>
  <c r="I248" i="12"/>
  <c r="AH247" i="12"/>
  <c r="AE247" i="12"/>
  <c r="I247" i="12"/>
  <c r="AH246" i="12"/>
  <c r="AE246" i="12"/>
  <c r="I246" i="12"/>
  <c r="AH245" i="12"/>
  <c r="AE245" i="12"/>
  <c r="I245" i="12"/>
  <c r="AH244" i="12"/>
  <c r="AE244" i="12"/>
  <c r="I244" i="12"/>
  <c r="AH243" i="12"/>
  <c r="AE243" i="12"/>
  <c r="I243" i="12"/>
  <c r="AH242" i="12"/>
  <c r="AE242" i="12"/>
  <c r="I242" i="12"/>
  <c r="AH241" i="12"/>
  <c r="AE241" i="12"/>
  <c r="I241" i="12"/>
  <c r="AH240" i="12"/>
  <c r="AE240" i="12"/>
  <c r="I240" i="12"/>
  <c r="AH239" i="12"/>
  <c r="AE239" i="12"/>
  <c r="I239" i="12"/>
  <c r="AH238" i="12"/>
  <c r="AE238" i="12"/>
  <c r="I238" i="12"/>
  <c r="AH237" i="12"/>
  <c r="AE237" i="12"/>
  <c r="I237" i="12"/>
  <c r="AH236" i="12"/>
  <c r="AE236" i="12"/>
  <c r="I236" i="12"/>
  <c r="AH235" i="12"/>
  <c r="AE235" i="12"/>
  <c r="I235" i="12"/>
  <c r="AH234" i="12"/>
  <c r="AE234" i="12"/>
  <c r="I234" i="12"/>
  <c r="AH233" i="12"/>
  <c r="AE233" i="12"/>
  <c r="I233" i="12"/>
  <c r="AH232" i="12"/>
  <c r="AE232" i="12"/>
  <c r="I232" i="12"/>
  <c r="AH231" i="12"/>
  <c r="AE231" i="12"/>
  <c r="I231" i="12"/>
  <c r="AH230" i="12"/>
  <c r="AE230" i="12"/>
  <c r="I230" i="12"/>
  <c r="AH229" i="12"/>
  <c r="AE229" i="12"/>
  <c r="I229" i="12"/>
  <c r="AH228" i="12"/>
  <c r="AE228" i="12"/>
  <c r="I228" i="12"/>
  <c r="AH227" i="12"/>
  <c r="AE227" i="12"/>
  <c r="I227" i="12"/>
  <c r="AH226" i="12"/>
  <c r="AE226" i="12"/>
  <c r="I226" i="12"/>
  <c r="AH225" i="12"/>
  <c r="AE225" i="12"/>
  <c r="I225" i="12"/>
  <c r="AH224" i="12"/>
  <c r="AE224" i="12"/>
  <c r="I224" i="12"/>
  <c r="AH223" i="12"/>
  <c r="AE223" i="12"/>
  <c r="I223" i="12"/>
  <c r="AH222" i="12"/>
  <c r="AE222" i="12"/>
  <c r="I222" i="12"/>
  <c r="AH221" i="12"/>
  <c r="AE221" i="12"/>
  <c r="I221" i="12"/>
  <c r="AH220" i="12"/>
  <c r="AE220" i="12"/>
  <c r="I220" i="12"/>
  <c r="AH219" i="12"/>
  <c r="AE219" i="12"/>
  <c r="I219" i="12"/>
  <c r="AH218" i="12"/>
  <c r="AE218" i="12"/>
  <c r="I218" i="12"/>
  <c r="AH217" i="12"/>
  <c r="AE217" i="12"/>
  <c r="I217" i="12"/>
  <c r="AH216" i="12"/>
  <c r="AE216" i="12"/>
  <c r="I216" i="12"/>
  <c r="AH215" i="12"/>
  <c r="AE215" i="12"/>
  <c r="I215" i="12"/>
  <c r="AH214" i="12"/>
  <c r="AE214" i="12"/>
  <c r="I214" i="12"/>
  <c r="AH213" i="12"/>
  <c r="AE213" i="12"/>
  <c r="I213" i="12"/>
  <c r="AH212" i="12"/>
  <c r="AE212" i="12"/>
  <c r="I212" i="12"/>
  <c r="AH211" i="12"/>
  <c r="AE211" i="12"/>
  <c r="I211" i="12"/>
  <c r="AH210" i="12"/>
  <c r="AE210" i="12"/>
  <c r="I210" i="12"/>
  <c r="AH209" i="12"/>
  <c r="AE209" i="12"/>
  <c r="I209" i="12"/>
  <c r="AH208" i="12"/>
  <c r="AE208" i="12"/>
  <c r="I208" i="12"/>
  <c r="AH207" i="12"/>
  <c r="AE207" i="12"/>
  <c r="I207" i="12"/>
  <c r="AH206" i="12"/>
  <c r="AE206" i="12"/>
  <c r="I206" i="12"/>
  <c r="AH205" i="12"/>
  <c r="AE205" i="12"/>
  <c r="I205" i="12"/>
  <c r="AH204" i="12"/>
  <c r="AE204" i="12"/>
  <c r="I204" i="12"/>
  <c r="AH203" i="12"/>
  <c r="AE203" i="12"/>
  <c r="I203" i="12"/>
  <c r="AH202" i="12"/>
  <c r="AE202" i="12"/>
  <c r="I202" i="12"/>
  <c r="AH201" i="12"/>
  <c r="AE201" i="12"/>
  <c r="I201" i="12"/>
  <c r="AH200" i="12"/>
  <c r="AE200" i="12"/>
  <c r="I200" i="12"/>
  <c r="AH199" i="12"/>
  <c r="AE199" i="12"/>
  <c r="I199" i="12"/>
  <c r="AH198" i="12"/>
  <c r="AE198" i="12"/>
  <c r="I198" i="12"/>
  <c r="AH197" i="12"/>
  <c r="AE197" i="12"/>
  <c r="I197" i="12"/>
  <c r="AH196" i="12"/>
  <c r="AE196" i="12"/>
  <c r="I196" i="12"/>
  <c r="AH195" i="12"/>
  <c r="AE195" i="12"/>
  <c r="I195" i="12"/>
  <c r="AH194" i="12"/>
  <c r="AE194" i="12"/>
  <c r="I194" i="12"/>
  <c r="AH193" i="12"/>
  <c r="AE193" i="12"/>
  <c r="I193" i="12"/>
  <c r="AH192" i="12"/>
  <c r="AE192" i="12"/>
  <c r="I192" i="12"/>
  <c r="AH191" i="12"/>
  <c r="AE191" i="12"/>
  <c r="I191" i="12"/>
  <c r="AH190" i="12"/>
  <c r="AE190" i="12"/>
  <c r="I190" i="12"/>
  <c r="AH189" i="12"/>
  <c r="AE189" i="12"/>
  <c r="I189" i="12"/>
  <c r="AH188" i="12"/>
  <c r="AE188" i="12"/>
  <c r="I188" i="12"/>
  <c r="AH187" i="12"/>
  <c r="AE187" i="12"/>
  <c r="I187" i="12"/>
  <c r="AH186" i="12"/>
  <c r="AE186" i="12"/>
  <c r="I186" i="12"/>
  <c r="AH185" i="12"/>
  <c r="AE185" i="12"/>
  <c r="I185" i="12"/>
  <c r="AH184" i="12"/>
  <c r="AE184" i="12"/>
  <c r="I184" i="12"/>
  <c r="AH183" i="12"/>
  <c r="AE183" i="12"/>
  <c r="I183" i="12"/>
  <c r="AH182" i="12"/>
  <c r="AE182" i="12"/>
  <c r="I182" i="12"/>
  <c r="AH181" i="12"/>
  <c r="AE181" i="12"/>
  <c r="I181" i="12"/>
  <c r="AH180" i="12"/>
  <c r="AE180" i="12"/>
  <c r="I180" i="12"/>
  <c r="AH179" i="12"/>
  <c r="AE179" i="12"/>
  <c r="I179" i="12"/>
  <c r="AH178" i="12"/>
  <c r="AE178" i="12"/>
  <c r="I178" i="12"/>
  <c r="AH177" i="12"/>
  <c r="AE177" i="12"/>
  <c r="I177" i="12"/>
  <c r="AH176" i="12"/>
  <c r="AE176" i="12"/>
  <c r="I176" i="12"/>
  <c r="AH175" i="12"/>
  <c r="AE175" i="12"/>
  <c r="I175" i="12"/>
  <c r="AH174" i="12"/>
  <c r="AE174" i="12"/>
  <c r="I174" i="12"/>
  <c r="AH173" i="12"/>
  <c r="AE173" i="12"/>
  <c r="I173" i="12"/>
  <c r="AH172" i="12"/>
  <c r="AE172" i="12"/>
  <c r="I172" i="12"/>
  <c r="AH171" i="12"/>
  <c r="AE171" i="12"/>
  <c r="I171" i="12"/>
  <c r="AH170" i="12"/>
  <c r="AE170" i="12"/>
  <c r="I170" i="12"/>
  <c r="AH169" i="12"/>
  <c r="AE169" i="12"/>
  <c r="I169" i="12"/>
  <c r="AH168" i="12"/>
  <c r="AE168" i="12"/>
  <c r="I168" i="12"/>
  <c r="AH167" i="12"/>
  <c r="AE167" i="12"/>
  <c r="I167" i="12"/>
  <c r="AH166" i="12"/>
  <c r="AE166" i="12"/>
  <c r="I166" i="12"/>
  <c r="AH165" i="12"/>
  <c r="AE165" i="12"/>
  <c r="I165" i="12"/>
  <c r="AH164" i="12"/>
  <c r="AE164" i="12"/>
  <c r="I164" i="12"/>
  <c r="AH163" i="12"/>
  <c r="AE163" i="12"/>
  <c r="I163" i="12"/>
  <c r="AH162" i="12"/>
  <c r="AE162" i="12"/>
  <c r="I162" i="12"/>
  <c r="AH161" i="12"/>
  <c r="AE161" i="12"/>
  <c r="I161" i="12"/>
  <c r="AH160" i="12"/>
  <c r="AE160" i="12"/>
  <c r="I160" i="12"/>
  <c r="AH159" i="12"/>
  <c r="AE159" i="12"/>
  <c r="I159" i="12"/>
  <c r="AH158" i="12"/>
  <c r="AE158" i="12"/>
  <c r="I158" i="12"/>
  <c r="AH157" i="12"/>
  <c r="AE157" i="12"/>
  <c r="I157" i="12"/>
  <c r="AH156" i="12"/>
  <c r="AE156" i="12"/>
  <c r="I156" i="12"/>
  <c r="AH155" i="12"/>
  <c r="AE155" i="12"/>
  <c r="I155" i="12"/>
  <c r="AH154" i="12"/>
  <c r="AE154" i="12"/>
  <c r="I154" i="12"/>
  <c r="AH153" i="12"/>
  <c r="AE153" i="12"/>
  <c r="I153" i="12"/>
  <c r="AH152" i="12"/>
  <c r="AE152" i="12"/>
  <c r="I152" i="12"/>
  <c r="AH151" i="12"/>
  <c r="AE151" i="12"/>
  <c r="I151" i="12"/>
  <c r="AH150" i="12"/>
  <c r="AE150" i="12"/>
  <c r="I150" i="12"/>
  <c r="AH149" i="12"/>
  <c r="AE149" i="12"/>
  <c r="I149" i="12"/>
  <c r="AH148" i="12"/>
  <c r="AE148" i="12"/>
  <c r="I148" i="12"/>
  <c r="AH147" i="12"/>
  <c r="AE147" i="12"/>
  <c r="I147" i="12"/>
  <c r="AH146" i="12"/>
  <c r="AE146" i="12"/>
  <c r="I146" i="12"/>
  <c r="AH145" i="12"/>
  <c r="AE145" i="12"/>
  <c r="I145" i="12"/>
  <c r="AH144" i="12"/>
  <c r="AE144" i="12"/>
  <c r="I144" i="12"/>
  <c r="AH143" i="12"/>
  <c r="AE143" i="12"/>
  <c r="I143" i="12"/>
  <c r="AH142" i="12"/>
  <c r="AE142" i="12"/>
  <c r="I142" i="12"/>
  <c r="AH141" i="12"/>
  <c r="AE141" i="12"/>
  <c r="I141" i="12"/>
  <c r="AH140" i="12"/>
  <c r="AE140" i="12"/>
  <c r="I140" i="12"/>
  <c r="AH139" i="12"/>
  <c r="AE139" i="12"/>
  <c r="I139" i="12"/>
  <c r="AH138" i="12"/>
  <c r="AE138" i="12"/>
  <c r="I138" i="12"/>
  <c r="AH137" i="12"/>
  <c r="AE137" i="12"/>
  <c r="I137" i="12"/>
  <c r="AH136" i="12"/>
  <c r="AE136" i="12"/>
  <c r="I136" i="12"/>
  <c r="AH135" i="12"/>
  <c r="AE135" i="12"/>
  <c r="I135" i="12"/>
  <c r="AH134" i="12"/>
  <c r="AE134" i="12"/>
  <c r="I134" i="12"/>
  <c r="AH133" i="12"/>
  <c r="AE133" i="12"/>
  <c r="I133" i="12"/>
  <c r="AH132" i="12"/>
  <c r="AE132" i="12"/>
  <c r="I132" i="12"/>
  <c r="AH131" i="12"/>
  <c r="AE131" i="12"/>
  <c r="I131" i="12"/>
  <c r="AH130" i="12"/>
  <c r="AE130" i="12"/>
  <c r="I130" i="12"/>
  <c r="AH129" i="12"/>
  <c r="AE129" i="12"/>
  <c r="I129" i="12"/>
  <c r="AH128" i="12"/>
  <c r="AE128" i="12"/>
  <c r="I128" i="12"/>
  <c r="AH127" i="12"/>
  <c r="AE127" i="12"/>
  <c r="I127" i="12"/>
  <c r="AH126" i="12"/>
  <c r="AE126" i="12"/>
  <c r="I126" i="12"/>
  <c r="AH125" i="12"/>
  <c r="AE125" i="12"/>
  <c r="I125" i="12"/>
  <c r="AH124" i="12"/>
  <c r="AE124" i="12"/>
  <c r="I124" i="12"/>
  <c r="AH123" i="12"/>
  <c r="AE123" i="12"/>
  <c r="I123" i="12"/>
  <c r="AH122" i="12"/>
  <c r="AE122" i="12"/>
  <c r="I122" i="12"/>
  <c r="AH121" i="12"/>
  <c r="AE121" i="12"/>
  <c r="I121" i="12"/>
  <c r="AH120" i="12"/>
  <c r="AE120" i="12"/>
  <c r="I120" i="12"/>
  <c r="AH119" i="12"/>
  <c r="AE119" i="12"/>
  <c r="I119" i="12"/>
  <c r="AH118" i="12"/>
  <c r="AE118" i="12"/>
  <c r="I118" i="12"/>
  <c r="AH117" i="12"/>
  <c r="AE117" i="12"/>
  <c r="I117" i="12"/>
  <c r="AH116" i="12"/>
  <c r="AE116" i="12"/>
  <c r="I116" i="12"/>
  <c r="AH115" i="12"/>
  <c r="AE115" i="12"/>
  <c r="I115" i="12"/>
  <c r="AH114" i="12"/>
  <c r="AE114" i="12"/>
  <c r="I114" i="12"/>
  <c r="AH113" i="12"/>
  <c r="AE113" i="12"/>
  <c r="I113" i="12"/>
  <c r="AH112" i="12"/>
  <c r="AE112" i="12"/>
  <c r="I112" i="12"/>
  <c r="AH111" i="12"/>
  <c r="AE111" i="12"/>
  <c r="I111" i="12"/>
  <c r="AH110" i="12"/>
  <c r="AE110" i="12"/>
  <c r="I110" i="12"/>
  <c r="AH109" i="12"/>
  <c r="AE109" i="12"/>
  <c r="I109" i="12"/>
  <c r="AH108" i="12"/>
  <c r="AE108" i="12"/>
  <c r="I108" i="12"/>
  <c r="AH107" i="12"/>
  <c r="AE107" i="12"/>
  <c r="I107" i="12"/>
  <c r="AH106" i="12"/>
  <c r="AE106" i="12"/>
  <c r="I106" i="12"/>
  <c r="AH105" i="12"/>
  <c r="AE105" i="12"/>
  <c r="I105" i="12"/>
  <c r="AH104" i="12"/>
  <c r="AE104" i="12"/>
  <c r="I104" i="12"/>
  <c r="AH103" i="12"/>
  <c r="AE103" i="12"/>
  <c r="I103" i="12"/>
  <c r="AH102" i="12"/>
  <c r="AE102" i="12"/>
  <c r="I102" i="12"/>
  <c r="AH101" i="12"/>
  <c r="AE101" i="12"/>
  <c r="I101" i="12"/>
  <c r="AH100" i="12"/>
  <c r="AE100" i="12"/>
  <c r="I100" i="12"/>
  <c r="AH99" i="12"/>
  <c r="AE99" i="12"/>
  <c r="I99" i="12"/>
  <c r="AH98" i="12"/>
  <c r="AE98" i="12"/>
  <c r="I98" i="12"/>
  <c r="AH97" i="12"/>
  <c r="AE97" i="12"/>
  <c r="I97" i="12"/>
  <c r="AH96" i="12"/>
  <c r="AE96" i="12"/>
  <c r="I96" i="12"/>
  <c r="AH95" i="12"/>
  <c r="AE95" i="12"/>
  <c r="I95" i="12"/>
  <c r="AH94" i="12"/>
  <c r="AE94" i="12"/>
  <c r="I94" i="12"/>
  <c r="AH93" i="12"/>
  <c r="AE93" i="12"/>
  <c r="I93" i="12"/>
  <c r="AH92" i="12"/>
  <c r="AE92" i="12"/>
  <c r="I92" i="12"/>
  <c r="AH91" i="12"/>
  <c r="AE91" i="12"/>
  <c r="I91" i="12"/>
  <c r="AH90" i="12"/>
  <c r="AE90" i="12"/>
  <c r="I90" i="12"/>
  <c r="AH89" i="12"/>
  <c r="AE89" i="12"/>
  <c r="I89" i="12"/>
  <c r="AH88" i="12"/>
  <c r="AE88" i="12"/>
  <c r="I88" i="12"/>
  <c r="AH87" i="12"/>
  <c r="AE87" i="12"/>
  <c r="I87" i="12"/>
  <c r="AH86" i="12"/>
  <c r="AE86" i="12"/>
  <c r="I86" i="12"/>
  <c r="AH85" i="12"/>
  <c r="AE85" i="12"/>
  <c r="I85" i="12"/>
  <c r="AH84" i="12"/>
  <c r="AE84" i="12"/>
  <c r="I84" i="12"/>
  <c r="AH83" i="12"/>
  <c r="AE83" i="12"/>
  <c r="I83" i="12"/>
  <c r="AH82" i="12"/>
  <c r="AE82" i="12"/>
  <c r="I82" i="12"/>
  <c r="AH81" i="12"/>
  <c r="AE81" i="12"/>
  <c r="I81" i="12"/>
  <c r="AH80" i="12"/>
  <c r="AE80" i="12"/>
  <c r="I80" i="12"/>
  <c r="AH79" i="12"/>
  <c r="AE79" i="12"/>
  <c r="I79" i="12"/>
  <c r="AH78" i="12"/>
  <c r="AE78" i="12"/>
  <c r="I78" i="12"/>
  <c r="AH77" i="12"/>
  <c r="AE77" i="12"/>
  <c r="I77" i="12"/>
  <c r="AH76" i="12"/>
  <c r="AE76" i="12"/>
  <c r="I76" i="12"/>
  <c r="AH75" i="12"/>
  <c r="AE75" i="12"/>
  <c r="I75" i="12"/>
  <c r="AH74" i="12"/>
  <c r="AE74" i="12"/>
  <c r="I74" i="12"/>
  <c r="AH73" i="12"/>
  <c r="AE73" i="12"/>
  <c r="I73" i="12"/>
  <c r="AH72" i="12"/>
  <c r="AE72" i="12"/>
  <c r="I72" i="12"/>
  <c r="AH71" i="12"/>
  <c r="AE71" i="12"/>
  <c r="I71" i="12"/>
  <c r="AH70" i="12"/>
  <c r="AE70" i="12"/>
  <c r="I70" i="12"/>
  <c r="AH69" i="12"/>
  <c r="AE69" i="12"/>
  <c r="I69" i="12"/>
  <c r="AH68" i="12"/>
  <c r="AE68" i="12"/>
  <c r="I68" i="12"/>
  <c r="AH67" i="12"/>
  <c r="AE67" i="12"/>
  <c r="I67" i="12"/>
  <c r="AH66" i="12"/>
  <c r="AE66" i="12"/>
  <c r="I66" i="12"/>
  <c r="AH65" i="12"/>
  <c r="AE65" i="12"/>
  <c r="I65" i="12"/>
  <c r="AH64" i="12"/>
  <c r="AE64" i="12"/>
  <c r="I64" i="12"/>
  <c r="AH63" i="12"/>
  <c r="AE63" i="12"/>
  <c r="I63" i="12"/>
  <c r="AH62" i="12"/>
  <c r="AE62" i="12"/>
  <c r="I62" i="12"/>
  <c r="AH61" i="12"/>
  <c r="AE61" i="12"/>
  <c r="I61" i="12"/>
  <c r="AH60" i="12"/>
  <c r="AE60" i="12"/>
  <c r="I60" i="12"/>
  <c r="AH59" i="12"/>
  <c r="AE59" i="12"/>
  <c r="I59" i="12"/>
  <c r="AH58" i="12"/>
  <c r="AE58" i="12"/>
  <c r="I58" i="12"/>
  <c r="AH57" i="12"/>
  <c r="AE57" i="12"/>
  <c r="I57" i="12"/>
  <c r="AH56" i="12"/>
  <c r="AE56" i="12"/>
  <c r="I56" i="12"/>
  <c r="AH55" i="12"/>
  <c r="AE55" i="12"/>
  <c r="I55" i="12"/>
  <c r="AH54" i="12"/>
  <c r="AE54" i="12"/>
  <c r="I54" i="12"/>
  <c r="AH53" i="12"/>
  <c r="AE53" i="12"/>
  <c r="I53" i="12"/>
  <c r="AH52" i="12"/>
  <c r="AE52" i="12"/>
  <c r="I52" i="12"/>
  <c r="AH51" i="12"/>
  <c r="AE51" i="12"/>
  <c r="I51" i="12"/>
  <c r="AH50" i="12"/>
  <c r="AE50" i="12"/>
  <c r="I50" i="12"/>
  <c r="AH49" i="12"/>
  <c r="AE49" i="12"/>
  <c r="I49" i="12"/>
  <c r="AH48" i="12"/>
  <c r="AE48" i="12"/>
  <c r="I48" i="12"/>
  <c r="AH47" i="12"/>
  <c r="AE47" i="12"/>
  <c r="I47" i="12"/>
  <c r="AH46" i="12"/>
  <c r="AE46" i="12"/>
  <c r="I46" i="12"/>
  <c r="AH45" i="12"/>
  <c r="AE45" i="12"/>
  <c r="I45" i="12"/>
  <c r="AH44" i="12"/>
  <c r="AE44" i="12"/>
  <c r="I44" i="12"/>
  <c r="AH43" i="12"/>
  <c r="AE43" i="12"/>
  <c r="I43" i="12"/>
  <c r="AH42" i="12"/>
  <c r="AE42" i="12"/>
  <c r="I42" i="12"/>
  <c r="AH41" i="12"/>
  <c r="AE41" i="12"/>
  <c r="I41" i="12"/>
  <c r="AH40" i="12"/>
  <c r="AE40" i="12"/>
  <c r="I40" i="12"/>
  <c r="AH39" i="12"/>
  <c r="AE39" i="12"/>
  <c r="I39" i="12"/>
  <c r="AH38" i="12"/>
  <c r="AE38" i="12"/>
  <c r="I38" i="12"/>
  <c r="AH37" i="12"/>
  <c r="AE37" i="12"/>
  <c r="I37" i="12"/>
  <c r="AH36" i="12"/>
  <c r="AE36" i="12"/>
  <c r="I36" i="12"/>
  <c r="AH35" i="12"/>
  <c r="AE35" i="12"/>
  <c r="I35" i="12"/>
  <c r="AH34" i="12"/>
  <c r="AE34" i="12"/>
  <c r="I34" i="12"/>
  <c r="AH33" i="12"/>
  <c r="AE33" i="12"/>
  <c r="I33" i="12"/>
  <c r="AH32" i="12"/>
  <c r="AE32" i="12"/>
  <c r="I32" i="12"/>
  <c r="AH31" i="12"/>
  <c r="AE31" i="12"/>
  <c r="I31" i="12"/>
  <c r="AH30" i="12"/>
  <c r="AE30" i="12"/>
  <c r="I30" i="12"/>
  <c r="AH29" i="12"/>
  <c r="AE29" i="12"/>
  <c r="I29" i="12"/>
  <c r="AH28" i="12"/>
  <c r="AE28" i="12"/>
  <c r="I28" i="12"/>
  <c r="AH27" i="12"/>
  <c r="AE27" i="12"/>
  <c r="I27" i="12"/>
  <c r="AH26" i="12"/>
  <c r="AE26" i="12"/>
  <c r="I26" i="12"/>
  <c r="AH25" i="12"/>
  <c r="AE25" i="12"/>
  <c r="I25" i="12"/>
  <c r="AH24" i="12"/>
  <c r="AE24" i="12"/>
  <c r="I24" i="12"/>
  <c r="AH23" i="12"/>
  <c r="AE23" i="12"/>
  <c r="I23" i="12"/>
  <c r="AH22" i="12"/>
  <c r="AE22" i="12"/>
  <c r="I22" i="12"/>
  <c r="AH21" i="12"/>
  <c r="AE21" i="12"/>
  <c r="I21" i="12"/>
  <c r="AH20" i="12"/>
  <c r="AE20" i="12"/>
  <c r="I20" i="12"/>
  <c r="AH19" i="12"/>
  <c r="AE19" i="12"/>
  <c r="I19" i="12"/>
  <c r="AH18" i="12"/>
  <c r="AE18" i="12"/>
  <c r="I18" i="12"/>
  <c r="AH17" i="12"/>
  <c r="AE17" i="12"/>
  <c r="I17" i="12"/>
  <c r="AH16" i="12"/>
  <c r="AE16" i="12"/>
  <c r="I16" i="12"/>
  <c r="AH15" i="12"/>
  <c r="AE15" i="12"/>
  <c r="I15" i="12"/>
  <c r="AH14" i="12"/>
  <c r="AE14" i="12"/>
  <c r="I14" i="12"/>
  <c r="AH13" i="12"/>
  <c r="AE13" i="12"/>
  <c r="I13" i="12"/>
  <c r="AH12" i="12"/>
  <c r="AE12" i="12"/>
  <c r="I12" i="12"/>
  <c r="AH11" i="12"/>
  <c r="AE11" i="12"/>
  <c r="I11" i="12"/>
  <c r="AH10" i="12"/>
  <c r="AE10" i="12"/>
  <c r="I10" i="12"/>
  <c r="AH9" i="12"/>
  <c r="AE9" i="12"/>
  <c r="I9" i="12"/>
  <c r="AH8" i="12"/>
  <c r="AE8" i="12"/>
  <c r="I8" i="12"/>
  <c r="AH7" i="12"/>
  <c r="AE7" i="12"/>
  <c r="I7" i="12"/>
  <c r="AH6" i="12"/>
  <c r="AE6" i="12"/>
  <c r="I6" i="12"/>
  <c r="AH5" i="12"/>
  <c r="AE5" i="12"/>
  <c r="I5" i="12"/>
  <c r="AH4" i="12"/>
  <c r="AE4" i="12"/>
  <c r="I4" i="12"/>
  <c r="AH3" i="12"/>
  <c r="AE3" i="12"/>
  <c r="P3" i="12"/>
  <c r="I3" i="12"/>
  <c r="A3" i="12"/>
  <c r="S3" i="12" s="1"/>
  <c r="P35" i="4"/>
  <c r="L35" i="4"/>
  <c r="E35" i="4"/>
  <c r="P34" i="4"/>
  <c r="L34" i="4"/>
  <c r="E34" i="4"/>
  <c r="P33" i="4"/>
  <c r="L33" i="4"/>
  <c r="E33" i="4"/>
  <c r="P32" i="4"/>
  <c r="L32" i="4"/>
  <c r="E32" i="4"/>
  <c r="P31" i="4"/>
  <c r="L31" i="4"/>
  <c r="E31" i="4"/>
  <c r="P30" i="4"/>
  <c r="L30" i="4"/>
  <c r="E30" i="4"/>
  <c r="P29" i="4"/>
  <c r="L29" i="4"/>
  <c r="E29" i="4"/>
  <c r="P28" i="4"/>
  <c r="L28" i="4"/>
  <c r="E28" i="4"/>
  <c r="P27" i="4"/>
  <c r="L27" i="4"/>
  <c r="E27" i="4"/>
  <c r="P26" i="4"/>
  <c r="L26" i="4"/>
  <c r="E26" i="4"/>
  <c r="P25" i="4"/>
  <c r="L25" i="4"/>
  <c r="E25" i="4"/>
  <c r="P24" i="4"/>
  <c r="L24" i="4"/>
  <c r="E24" i="4"/>
  <c r="P23" i="4"/>
  <c r="L23" i="4"/>
  <c r="E23" i="4"/>
  <c r="P22" i="4"/>
  <c r="L22" i="4"/>
  <c r="E22" i="4"/>
  <c r="P21" i="4"/>
  <c r="L21" i="4"/>
  <c r="E21" i="4"/>
  <c r="P20" i="4"/>
  <c r="L20" i="4"/>
  <c r="E20" i="4"/>
  <c r="P19" i="4"/>
  <c r="L19" i="4"/>
  <c r="E19" i="4"/>
  <c r="P18" i="4"/>
  <c r="L18" i="4"/>
  <c r="E18" i="4"/>
  <c r="P17" i="4"/>
  <c r="L17" i="4"/>
  <c r="E17" i="4"/>
  <c r="P16" i="4"/>
  <c r="L16" i="4"/>
  <c r="E16" i="4"/>
  <c r="P15" i="4"/>
  <c r="L15" i="4"/>
  <c r="E15" i="4"/>
  <c r="P14" i="4"/>
  <c r="L14" i="4"/>
  <c r="E14" i="4"/>
  <c r="P13" i="4"/>
  <c r="L13" i="4"/>
  <c r="E13" i="4"/>
  <c r="P12" i="4"/>
  <c r="L12" i="4"/>
  <c r="E12" i="4"/>
  <c r="E11" i="4"/>
  <c r="C7" i="4"/>
  <c r="A7" i="4"/>
  <c r="J5" i="4"/>
  <c r="G5" i="4"/>
  <c r="C5" i="4"/>
  <c r="A5" i="4"/>
  <c r="J4" i="4"/>
  <c r="G4" i="4"/>
  <c r="C4" i="4"/>
  <c r="A4" i="4"/>
  <c r="J3" i="4"/>
  <c r="A34" i="4" s="1"/>
  <c r="G3" i="4"/>
  <c r="C3" i="4"/>
  <c r="A3" i="4"/>
  <c r="A142" i="1"/>
  <c r="B142" i="1" s="1"/>
  <c r="A141" i="1"/>
  <c r="B141" i="1" s="1"/>
  <c r="A140" i="1"/>
  <c r="B140" i="1" s="1"/>
  <c r="A139" i="1"/>
  <c r="B139" i="1" s="1"/>
  <c r="A138" i="1"/>
  <c r="B138" i="1" s="1"/>
  <c r="A137" i="1"/>
  <c r="B137" i="1" s="1"/>
  <c r="A136" i="1"/>
  <c r="B136" i="1" s="1"/>
  <c r="A135" i="1"/>
  <c r="B135" i="1" s="1"/>
  <c r="A134" i="1"/>
  <c r="B134" i="1" s="1"/>
  <c r="A133" i="1"/>
  <c r="B133" i="1" s="1"/>
  <c r="A132" i="1"/>
  <c r="B132" i="1" s="1"/>
  <c r="A131" i="1"/>
  <c r="B131" i="1" s="1"/>
  <c r="A130" i="1"/>
  <c r="B130" i="1" s="1"/>
  <c r="A129" i="1"/>
  <c r="B129" i="1" s="1"/>
  <c r="A128" i="1"/>
  <c r="B128" i="1" s="1"/>
  <c r="A127" i="1"/>
  <c r="B127" i="1" s="1"/>
  <c r="A126" i="1"/>
  <c r="B126" i="1" s="1"/>
  <c r="A125" i="1"/>
  <c r="B125" i="1" s="1"/>
  <c r="A124" i="1"/>
  <c r="B124" i="1" s="1"/>
  <c r="A123" i="1"/>
  <c r="B123" i="1" s="1"/>
  <c r="A122" i="1"/>
  <c r="B122" i="1" s="1"/>
  <c r="A121" i="1"/>
  <c r="B121" i="1" s="1"/>
  <c r="A120" i="1"/>
  <c r="B120" i="1" s="1"/>
  <c r="A119" i="1"/>
  <c r="B119" i="1" s="1"/>
  <c r="A118" i="1"/>
  <c r="B118" i="1" s="1"/>
  <c r="A117" i="1"/>
  <c r="B117" i="1" s="1"/>
  <c r="A116" i="1"/>
  <c r="B116" i="1" s="1"/>
  <c r="A115" i="1"/>
  <c r="B115" i="1" s="1"/>
  <c r="A114" i="1"/>
  <c r="B114" i="1" s="1"/>
  <c r="A113" i="1"/>
  <c r="B113" i="1" s="1"/>
  <c r="A112" i="1"/>
  <c r="B112" i="1" s="1"/>
  <c r="A111" i="1"/>
  <c r="B111" i="1" s="1"/>
  <c r="A110" i="1"/>
  <c r="B110" i="1" s="1"/>
  <c r="A109" i="1"/>
  <c r="B109" i="1" s="1"/>
  <c r="A108" i="1"/>
  <c r="B108" i="1" s="1"/>
  <c r="A107" i="1"/>
  <c r="B107" i="1" s="1"/>
  <c r="A106" i="1"/>
  <c r="B106" i="1" s="1"/>
  <c r="A105" i="1"/>
  <c r="B105" i="1" s="1"/>
  <c r="A104" i="1"/>
  <c r="B104" i="1" s="1"/>
  <c r="A103" i="1"/>
  <c r="B103" i="1" s="1"/>
  <c r="A102" i="1"/>
  <c r="B102" i="1" s="1"/>
  <c r="A101" i="1"/>
  <c r="B101" i="1" s="1"/>
  <c r="A100" i="1"/>
  <c r="B100" i="1" s="1"/>
  <c r="A99" i="1"/>
  <c r="B99" i="1" s="1"/>
  <c r="A98" i="1"/>
  <c r="B98" i="1" s="1"/>
  <c r="A97" i="1"/>
  <c r="B97" i="1" s="1"/>
  <c r="A96" i="1"/>
  <c r="B96" i="1" s="1"/>
  <c r="A95" i="1"/>
  <c r="B95" i="1" s="1"/>
  <c r="A94" i="1"/>
  <c r="B94" i="1" s="1"/>
  <c r="A93" i="1"/>
  <c r="B93" i="1" s="1"/>
  <c r="A92" i="1"/>
  <c r="B92" i="1" s="1"/>
  <c r="A91" i="1"/>
  <c r="B91" i="1" s="1"/>
  <c r="A90" i="1"/>
  <c r="B90" i="1" s="1"/>
  <c r="A89" i="1"/>
  <c r="B89" i="1" s="1"/>
  <c r="A88" i="1"/>
  <c r="B88" i="1" s="1"/>
  <c r="A87" i="1"/>
  <c r="B87" i="1" s="1"/>
  <c r="A86" i="1"/>
  <c r="B86" i="1" s="1"/>
  <c r="A85" i="1"/>
  <c r="B85" i="1" s="1"/>
  <c r="A84" i="1"/>
  <c r="B84" i="1" s="1"/>
  <c r="A83" i="1"/>
  <c r="B83" i="1" s="1"/>
  <c r="A82" i="1"/>
  <c r="B82" i="1" s="1"/>
  <c r="A81" i="1"/>
  <c r="B81" i="1" s="1"/>
  <c r="A80" i="1"/>
  <c r="B80" i="1" s="1"/>
  <c r="A79" i="1"/>
  <c r="B79" i="1" s="1"/>
  <c r="A78" i="1"/>
  <c r="B78" i="1" s="1"/>
  <c r="A77" i="1"/>
  <c r="B77" i="1" s="1"/>
  <c r="A76" i="1"/>
  <c r="B76" i="1" s="1"/>
  <c r="A75" i="1"/>
  <c r="B75" i="1" s="1"/>
  <c r="A74" i="1"/>
  <c r="B74" i="1" s="1"/>
  <c r="A73" i="1"/>
  <c r="B73" i="1" s="1"/>
  <c r="A72" i="1"/>
  <c r="B72" i="1" s="1"/>
  <c r="A71" i="1"/>
  <c r="B71" i="1" s="1"/>
  <c r="A70" i="1"/>
  <c r="B70" i="1" s="1"/>
  <c r="A69" i="1"/>
  <c r="B69" i="1" s="1"/>
  <c r="A68" i="1"/>
  <c r="B68" i="1" s="1"/>
  <c r="A67" i="1"/>
  <c r="B67" i="1" s="1"/>
  <c r="A66" i="1"/>
  <c r="B66" i="1" s="1"/>
  <c r="A65" i="1"/>
  <c r="B65" i="1" s="1"/>
  <c r="A64" i="1"/>
  <c r="B64" i="1" s="1"/>
  <c r="A63" i="1"/>
  <c r="B63" i="1" s="1"/>
  <c r="A62" i="1"/>
  <c r="B62" i="1" s="1"/>
  <c r="A61" i="1"/>
  <c r="B61" i="1" s="1"/>
  <c r="A60" i="1"/>
  <c r="B60" i="1" s="1"/>
  <c r="A59" i="1"/>
  <c r="B59" i="1" s="1"/>
  <c r="A58" i="1"/>
  <c r="B58" i="1" s="1"/>
  <c r="A57" i="1"/>
  <c r="B57" i="1" s="1"/>
  <c r="A56" i="1"/>
  <c r="B56" i="1" s="1"/>
  <c r="A55" i="1"/>
  <c r="B55" i="1" s="1"/>
  <c r="A54" i="1"/>
  <c r="B54" i="1" s="1"/>
  <c r="A53" i="1"/>
  <c r="B53" i="1" s="1"/>
  <c r="A52" i="1"/>
  <c r="B52" i="1" s="1"/>
  <c r="A51" i="1"/>
  <c r="B51" i="1" s="1"/>
  <c r="A50" i="1"/>
  <c r="B50" i="1" s="1"/>
  <c r="A49" i="1"/>
  <c r="B49" i="1" s="1"/>
  <c r="A48" i="1"/>
  <c r="B48" i="1" s="1"/>
  <c r="A47" i="1"/>
  <c r="B47" i="1" s="1"/>
  <c r="A46" i="1"/>
  <c r="B46" i="1" s="1"/>
  <c r="A45" i="1"/>
  <c r="B45" i="1" s="1"/>
  <c r="A44" i="1"/>
  <c r="B44" i="1" s="1"/>
  <c r="A43" i="1"/>
  <c r="B43" i="1" s="1"/>
  <c r="A42" i="1"/>
  <c r="B42" i="1" s="1"/>
  <c r="A41" i="1"/>
  <c r="B41" i="1" s="1"/>
  <c r="A40" i="1"/>
  <c r="B40" i="1" s="1"/>
  <c r="A39" i="1"/>
  <c r="B39" i="1" s="1"/>
  <c r="A38" i="1"/>
  <c r="B38" i="1" s="1"/>
  <c r="A37" i="1"/>
  <c r="B37" i="1" s="1"/>
  <c r="A36" i="1"/>
  <c r="B36" i="1" s="1"/>
  <c r="A35" i="1"/>
  <c r="B35" i="1" s="1"/>
  <c r="A34" i="1"/>
  <c r="B34" i="1" s="1"/>
  <c r="A33" i="1"/>
  <c r="B33" i="1" s="1"/>
  <c r="A32" i="1"/>
  <c r="B32" i="1" s="1"/>
  <c r="A31" i="1"/>
  <c r="B31" i="1" s="1"/>
  <c r="A30" i="1"/>
  <c r="B30" i="1" s="1"/>
  <c r="A29" i="1"/>
  <c r="B29" i="1" s="1"/>
  <c r="A28" i="1"/>
  <c r="B28" i="1" s="1"/>
  <c r="A27" i="1"/>
  <c r="B27" i="1" s="1"/>
  <c r="A26" i="1"/>
  <c r="B26" i="1" s="1"/>
  <c r="A25" i="1"/>
  <c r="B25" i="1" s="1"/>
  <c r="A24" i="1"/>
  <c r="B24" i="1" s="1"/>
  <c r="A23" i="1"/>
  <c r="B23" i="1" s="1"/>
  <c r="A22" i="1"/>
  <c r="B22" i="1" s="1"/>
  <c r="A21" i="1"/>
  <c r="B21" i="1" s="1"/>
  <c r="A20" i="1"/>
  <c r="B20" i="1" s="1"/>
  <c r="A19" i="1"/>
  <c r="B19" i="1" s="1"/>
  <c r="B18" i="1"/>
  <c r="A18" i="1"/>
  <c r="A17" i="1"/>
  <c r="B17" i="1" s="1"/>
  <c r="A16" i="1"/>
  <c r="B16" i="1" s="1"/>
  <c r="A15" i="1"/>
  <c r="B15" i="1" s="1"/>
  <c r="A14" i="1"/>
  <c r="B14" i="1" s="1"/>
  <c r="A13" i="1"/>
  <c r="B13" i="1" s="1"/>
  <c r="A12" i="1"/>
  <c r="B12" i="1" s="1"/>
  <c r="A11" i="1"/>
  <c r="B11" i="1" s="1"/>
  <c r="A10" i="1"/>
  <c r="B10" i="1" s="1"/>
  <c r="A9" i="1"/>
  <c r="B9" i="1" s="1"/>
  <c r="A8" i="1"/>
  <c r="B8" i="1" s="1"/>
  <c r="A7" i="1"/>
  <c r="B7" i="1" s="1"/>
  <c r="A6" i="1"/>
  <c r="B6" i="1" s="1"/>
  <c r="A5" i="1"/>
  <c r="B5" i="1" s="1"/>
  <c r="A4" i="1"/>
  <c r="B4" i="1" s="1"/>
  <c r="A3" i="1"/>
  <c r="B3" i="1" s="1"/>
  <c r="A19" i="16"/>
  <c r="A16" i="16"/>
  <c r="A5" i="3" s="1"/>
  <c r="A5" i="6" s="1"/>
  <c r="Z11" i="5" l="1"/>
  <c r="O11" i="5" s="1"/>
  <c r="Z10" i="5"/>
  <c r="O10" i="5" s="1"/>
  <c r="Q10" i="5" s="1"/>
  <c r="Q11" i="5" s="1"/>
  <c r="Q12" i="5" s="1"/>
  <c r="M10" i="5"/>
  <c r="O31" i="6"/>
  <c r="O13" i="6"/>
  <c r="O19" i="6"/>
  <c r="K30" i="6"/>
  <c r="I14" i="5"/>
  <c r="I15" i="5" s="1"/>
  <c r="I16" i="5" s="1"/>
  <c r="K46" i="6"/>
  <c r="O46" i="6"/>
  <c r="K50" i="6"/>
  <c r="O50" i="6"/>
  <c r="K54" i="6"/>
  <c r="O54" i="6"/>
  <c r="K58" i="6"/>
  <c r="O58" i="6"/>
  <c r="O62" i="6"/>
  <c r="K62" i="6"/>
  <c r="O66" i="6"/>
  <c r="K66" i="6"/>
  <c r="K70" i="6"/>
  <c r="O70" i="6"/>
  <c r="K74" i="6"/>
  <c r="O74" i="6"/>
  <c r="K78" i="6"/>
  <c r="O78" i="6"/>
  <c r="K82" i="6"/>
  <c r="O82" i="6"/>
  <c r="K86" i="6"/>
  <c r="O86" i="6"/>
  <c r="K90" i="6"/>
  <c r="O90" i="6"/>
  <c r="K94" i="6"/>
  <c r="O94" i="6"/>
  <c r="O98" i="6"/>
  <c r="K98" i="6"/>
  <c r="K102" i="6"/>
  <c r="O102" i="6"/>
  <c r="O106" i="6"/>
  <c r="K106" i="6"/>
  <c r="O110" i="6"/>
  <c r="K110" i="6"/>
  <c r="O114" i="6"/>
  <c r="K114" i="6"/>
  <c r="O39" i="6"/>
  <c r="K15" i="6"/>
  <c r="K38" i="6"/>
  <c r="H5" i="6"/>
  <c r="J5" i="5"/>
  <c r="M11" i="5"/>
  <c r="Z13" i="5"/>
  <c r="O13" i="5" s="1"/>
  <c r="M13" i="5"/>
  <c r="O35" i="6"/>
  <c r="O43" i="6"/>
  <c r="O47" i="6"/>
  <c r="O51" i="6"/>
  <c r="O55" i="6"/>
  <c r="O59" i="6"/>
  <c r="O63" i="6"/>
  <c r="O67" i="6"/>
  <c r="O71" i="6"/>
  <c r="O75" i="6"/>
  <c r="O79" i="6"/>
  <c r="O83" i="6"/>
  <c r="O87" i="6"/>
  <c r="O91" i="6"/>
  <c r="O95" i="6"/>
  <c r="O99" i="6"/>
  <c r="O103" i="6"/>
  <c r="O107" i="6"/>
  <c r="O111" i="6"/>
  <c r="O115" i="6"/>
  <c r="O12" i="6"/>
  <c r="O17" i="6"/>
  <c r="O20" i="6"/>
  <c r="O25" i="6"/>
  <c r="O29" i="6"/>
  <c r="O18" i="6"/>
  <c r="D43" i="5"/>
  <c r="D75" i="5"/>
  <c r="Q3" i="12"/>
  <c r="T3" i="12"/>
  <c r="V3" i="12"/>
  <c r="X3" i="12"/>
  <c r="D55" i="5"/>
  <c r="O14" i="5"/>
  <c r="V15" i="5"/>
  <c r="D83" i="5"/>
  <c r="D19" i="5"/>
  <c r="D35" i="5"/>
  <c r="D67" i="5"/>
  <c r="D15" i="5"/>
  <c r="D79" i="5"/>
  <c r="D31" i="5"/>
  <c r="D63" i="5"/>
  <c r="D25" i="5"/>
  <c r="D41" i="5"/>
  <c r="D57" i="5"/>
  <c r="D73" i="5"/>
  <c r="D89" i="5"/>
  <c r="D18" i="5"/>
  <c r="D34" i="5"/>
  <c r="D50" i="5"/>
  <c r="D66" i="5"/>
  <c r="D82" i="5"/>
  <c r="D29" i="5"/>
  <c r="D45" i="5"/>
  <c r="D61" i="5"/>
  <c r="D77" i="5"/>
  <c r="D22" i="5"/>
  <c r="D38" i="5"/>
  <c r="D54" i="5"/>
  <c r="D70" i="5"/>
  <c r="D86" i="5"/>
  <c r="D47" i="5"/>
  <c r="D87" i="5"/>
  <c r="D17" i="5"/>
  <c r="D33" i="5"/>
  <c r="D49" i="5"/>
  <c r="D65" i="5"/>
  <c r="D81" i="5"/>
  <c r="D26" i="5"/>
  <c r="D42" i="5"/>
  <c r="D58" i="5"/>
  <c r="D74" i="5"/>
  <c r="D90" i="5"/>
  <c r="D21" i="5"/>
  <c r="D37" i="5"/>
  <c r="D53" i="5"/>
  <c r="D69" i="5"/>
  <c r="D85" i="5"/>
  <c r="D14" i="5"/>
  <c r="D30" i="5"/>
  <c r="D46" i="5"/>
  <c r="D62" i="5"/>
  <c r="D78" i="5"/>
  <c r="Z114" i="5"/>
  <c r="O114" i="5" s="1"/>
  <c r="V16" i="5"/>
  <c r="Z111" i="5"/>
  <c r="O111" i="5" s="1"/>
  <c r="Z113" i="5"/>
  <c r="O113" i="5" s="1"/>
  <c r="M114" i="5"/>
  <c r="Z115" i="5"/>
  <c r="O115" i="5" s="1"/>
  <c r="M115" i="5"/>
  <c r="M111" i="5"/>
  <c r="Z112" i="5"/>
  <c r="O112" i="5" s="1"/>
  <c r="J3" i="5"/>
  <c r="H35" i="4"/>
  <c r="A23" i="4"/>
  <c r="A4" i="5"/>
  <c r="J4" i="5"/>
  <c r="A12" i="4"/>
  <c r="A3" i="5"/>
  <c r="AK3" i="12" s="1"/>
  <c r="A5" i="5"/>
  <c r="L5" i="6"/>
  <c r="R3" i="12"/>
  <c r="AI3" i="12" s="1"/>
  <c r="L4" i="6"/>
  <c r="B3" i="12"/>
  <c r="AA3" i="12" s="1"/>
  <c r="A27" i="4"/>
  <c r="A12" i="3"/>
  <c r="A16" i="3"/>
  <c r="A20" i="3"/>
  <c r="A15" i="4"/>
  <c r="A31" i="4"/>
  <c r="A13" i="3"/>
  <c r="A17" i="3"/>
  <c r="A21" i="3"/>
  <c r="A19" i="4"/>
  <c r="A35" i="4"/>
  <c r="A14" i="3"/>
  <c r="A18" i="3"/>
  <c r="A22" i="3"/>
  <c r="A11" i="3"/>
  <c r="A15" i="3"/>
  <c r="P4" i="12"/>
  <c r="A4" i="12"/>
  <c r="D4" i="5"/>
  <c r="D5" i="5"/>
  <c r="D3" i="5"/>
  <c r="K17" i="4"/>
  <c r="H20" i="4"/>
  <c r="F25" i="4"/>
  <c r="H28" i="4"/>
  <c r="I31" i="4"/>
  <c r="K33" i="4"/>
  <c r="F12" i="4"/>
  <c r="I15" i="4"/>
  <c r="F21" i="4"/>
  <c r="K25" i="4"/>
  <c r="F29" i="4"/>
  <c r="F33" i="4"/>
  <c r="A11" i="4"/>
  <c r="F11" i="4"/>
  <c r="K11" i="4"/>
  <c r="H12" i="4"/>
  <c r="I13" i="4"/>
  <c r="F14" i="4"/>
  <c r="K14" i="4"/>
  <c r="A16" i="4"/>
  <c r="I16" i="4"/>
  <c r="H17" i="4"/>
  <c r="F18" i="4"/>
  <c r="K18" i="4"/>
  <c r="A20" i="4"/>
  <c r="I20" i="4"/>
  <c r="J20" i="4" s="1"/>
  <c r="H21" i="4"/>
  <c r="F22" i="4"/>
  <c r="K22" i="4"/>
  <c r="A24" i="4"/>
  <c r="I24" i="4"/>
  <c r="H25" i="4"/>
  <c r="F26" i="4"/>
  <c r="K26" i="4"/>
  <c r="A28" i="4"/>
  <c r="I28" i="4"/>
  <c r="J28" i="4" s="1"/>
  <c r="H29" i="4"/>
  <c r="F30" i="4"/>
  <c r="K30" i="4"/>
  <c r="A32" i="4"/>
  <c r="I32" i="4"/>
  <c r="H33" i="4"/>
  <c r="F34" i="4"/>
  <c r="K34" i="4"/>
  <c r="K12" i="4"/>
  <c r="F17" i="4"/>
  <c r="I19" i="4"/>
  <c r="H24" i="4"/>
  <c r="C11" i="4"/>
  <c r="I12" i="4"/>
  <c r="A14" i="4"/>
  <c r="K15" i="4"/>
  <c r="A17" i="4"/>
  <c r="H18" i="4"/>
  <c r="F19" i="4"/>
  <c r="I21" i="4"/>
  <c r="J21" i="4" s="1"/>
  <c r="F23" i="4"/>
  <c r="I25" i="4"/>
  <c r="F27" i="4"/>
  <c r="I29" i="4"/>
  <c r="K31" i="4"/>
  <c r="I33" i="4"/>
  <c r="J33" i="4" s="1"/>
  <c r="F35" i="4"/>
  <c r="AB3" i="12"/>
  <c r="AF3" i="12" s="1"/>
  <c r="H13" i="4"/>
  <c r="H16" i="4"/>
  <c r="K21" i="4"/>
  <c r="I23" i="4"/>
  <c r="I27" i="4"/>
  <c r="K29" i="4"/>
  <c r="H32" i="4"/>
  <c r="I35" i="4"/>
  <c r="H11" i="4"/>
  <c r="H14" i="4"/>
  <c r="F15" i="4"/>
  <c r="I17" i="4"/>
  <c r="K19" i="4"/>
  <c r="A21" i="4"/>
  <c r="H22" i="4"/>
  <c r="K23" i="4"/>
  <c r="A25" i="4"/>
  <c r="H26" i="4"/>
  <c r="K27" i="4"/>
  <c r="A29" i="4"/>
  <c r="H30" i="4"/>
  <c r="F31" i="4"/>
  <c r="A33" i="4"/>
  <c r="H34" i="4"/>
  <c r="K35" i="4"/>
  <c r="I11" i="4"/>
  <c r="A13" i="4"/>
  <c r="F13" i="4"/>
  <c r="K13" i="4"/>
  <c r="I14" i="4"/>
  <c r="J14" i="4" s="1"/>
  <c r="H15" i="4"/>
  <c r="F16" i="4"/>
  <c r="K16" i="4"/>
  <c r="A18" i="4"/>
  <c r="I18" i="4"/>
  <c r="H19" i="4"/>
  <c r="F20" i="4"/>
  <c r="K20" i="4"/>
  <c r="A22" i="4"/>
  <c r="I22" i="4"/>
  <c r="H23" i="4"/>
  <c r="F24" i="4"/>
  <c r="K24" i="4"/>
  <c r="A26" i="4"/>
  <c r="I26" i="4"/>
  <c r="H27" i="4"/>
  <c r="F28" i="4"/>
  <c r="K28" i="4"/>
  <c r="A30" i="4"/>
  <c r="I30" i="4"/>
  <c r="H31" i="4"/>
  <c r="F32" i="4"/>
  <c r="K32" i="4"/>
  <c r="I34" i="4"/>
  <c r="AJ3" i="12"/>
  <c r="L3" i="6"/>
  <c r="O3" i="5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25" i="3"/>
  <c r="A26" i="3"/>
  <c r="A27" i="3"/>
  <c r="A28" i="3"/>
  <c r="A29" i="3"/>
  <c r="A30" i="3"/>
  <c r="A31" i="3"/>
  <c r="A23" i="3"/>
  <c r="A24" i="3"/>
  <c r="O80" i="6"/>
  <c r="K80" i="6"/>
  <c r="O81" i="6"/>
  <c r="K81" i="6"/>
  <c r="O88" i="6"/>
  <c r="K88" i="6"/>
  <c r="O89" i="6"/>
  <c r="K89" i="6"/>
  <c r="O96" i="6"/>
  <c r="K96" i="6"/>
  <c r="O97" i="6"/>
  <c r="K97" i="6"/>
  <c r="O104" i="6"/>
  <c r="K104" i="6"/>
  <c r="O105" i="6"/>
  <c r="K105" i="6"/>
  <c r="O112" i="6"/>
  <c r="K112" i="6"/>
  <c r="O113" i="6"/>
  <c r="K113" i="6"/>
  <c r="K10" i="6"/>
  <c r="K11" i="6"/>
  <c r="K12" i="6"/>
  <c r="K20" i="6"/>
  <c r="K21" i="6"/>
  <c r="K22" i="6"/>
  <c r="K23" i="6"/>
  <c r="K24" i="6"/>
  <c r="K25" i="6"/>
  <c r="K26" i="6"/>
  <c r="K27" i="6"/>
  <c r="K28" i="6"/>
  <c r="K29" i="6"/>
  <c r="O32" i="6"/>
  <c r="K32" i="6"/>
  <c r="O36" i="6"/>
  <c r="K36" i="6"/>
  <c r="O40" i="6"/>
  <c r="K40" i="6"/>
  <c r="O44" i="6"/>
  <c r="K44" i="6"/>
  <c r="O48" i="6"/>
  <c r="K48" i="6"/>
  <c r="O52" i="6"/>
  <c r="K52" i="6"/>
  <c r="O56" i="6"/>
  <c r="K56" i="6"/>
  <c r="O60" i="6"/>
  <c r="K60" i="6"/>
  <c r="O64" i="6"/>
  <c r="K64" i="6"/>
  <c r="O68" i="6"/>
  <c r="K68" i="6"/>
  <c r="O72" i="6"/>
  <c r="K72" i="6"/>
  <c r="O76" i="6"/>
  <c r="K76" i="6"/>
  <c r="K14" i="6"/>
  <c r="K16" i="6"/>
  <c r="K18" i="6"/>
  <c r="O33" i="6"/>
  <c r="K33" i="6"/>
  <c r="O37" i="6"/>
  <c r="K37" i="6"/>
  <c r="O41" i="6"/>
  <c r="K41" i="6"/>
  <c r="O45" i="6"/>
  <c r="K45" i="6"/>
  <c r="O49" i="6"/>
  <c r="K49" i="6"/>
  <c r="O53" i="6"/>
  <c r="K53" i="6"/>
  <c r="O57" i="6"/>
  <c r="K57" i="6"/>
  <c r="O61" i="6"/>
  <c r="K61" i="6"/>
  <c r="O65" i="6"/>
  <c r="K65" i="6"/>
  <c r="O69" i="6"/>
  <c r="K69" i="6"/>
  <c r="O73" i="6"/>
  <c r="K73" i="6"/>
  <c r="O77" i="6"/>
  <c r="K77" i="6"/>
  <c r="O84" i="6"/>
  <c r="K84" i="6"/>
  <c r="O85" i="6"/>
  <c r="K85" i="6"/>
  <c r="O92" i="6"/>
  <c r="K92" i="6"/>
  <c r="O93" i="6"/>
  <c r="K93" i="6"/>
  <c r="O100" i="6"/>
  <c r="K100" i="6"/>
  <c r="O101" i="6"/>
  <c r="K101" i="6"/>
  <c r="O108" i="6"/>
  <c r="K108" i="6"/>
  <c r="O109" i="6"/>
  <c r="K109" i="6"/>
  <c r="J29" i="4" l="1"/>
  <c r="Q13" i="5"/>
  <c r="Q14" i="5" s="1"/>
  <c r="U3" i="12"/>
  <c r="M15" i="5"/>
  <c r="Z15" i="5"/>
  <c r="O15" i="5" s="1"/>
  <c r="M14" i="5"/>
  <c r="I17" i="5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V17" i="5"/>
  <c r="Z16" i="5"/>
  <c r="O16" i="5" s="1"/>
  <c r="J17" i="4"/>
  <c r="J18" i="4"/>
  <c r="J34" i="4"/>
  <c r="J25" i="4"/>
  <c r="J12" i="4"/>
  <c r="J35" i="4"/>
  <c r="J26" i="4"/>
  <c r="AC3" i="12"/>
  <c r="AD3" i="12" s="1"/>
  <c r="AG3" i="12" s="1"/>
  <c r="Q4" i="12"/>
  <c r="P5" i="12"/>
  <c r="B4" i="12"/>
  <c r="A5" i="12"/>
  <c r="S4" i="12"/>
  <c r="W3" i="12"/>
  <c r="Y3" i="12" s="1"/>
  <c r="T4" i="12"/>
  <c r="U4" i="12" s="1"/>
  <c r="R4" i="12"/>
  <c r="J22" i="4"/>
  <c r="J27" i="4"/>
  <c r="J30" i="4"/>
  <c r="J11" i="4"/>
  <c r="J23" i="4"/>
  <c r="J32" i="4"/>
  <c r="J16" i="4"/>
  <c r="J13" i="4"/>
  <c r="J31" i="4"/>
  <c r="D11" i="4"/>
  <c r="C12" i="4"/>
  <c r="J19" i="4"/>
  <c r="J24" i="4"/>
  <c r="J15" i="4"/>
  <c r="Q15" i="5" l="1"/>
  <c r="X4" i="12"/>
  <c r="I62" i="5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M16" i="5"/>
  <c r="Q16" i="5"/>
  <c r="V18" i="5"/>
  <c r="Z17" i="5"/>
  <c r="O17" i="5" s="1"/>
  <c r="AJ4" i="12"/>
  <c r="AK4" i="12"/>
  <c r="AA4" i="12"/>
  <c r="AB4" i="12"/>
  <c r="AF4" i="12" s="1"/>
  <c r="AC4" i="12"/>
  <c r="V4" i="12"/>
  <c r="W4" i="12" s="1"/>
  <c r="Y4" i="12" s="1"/>
  <c r="Q5" i="12"/>
  <c r="P6" i="12"/>
  <c r="R5" i="12"/>
  <c r="AI4" i="12"/>
  <c r="T5" i="12"/>
  <c r="B5" i="12"/>
  <c r="A6" i="12"/>
  <c r="S5" i="12"/>
  <c r="D12" i="4"/>
  <c r="C13" i="4"/>
  <c r="X5" i="12" l="1"/>
  <c r="Y5" i="12"/>
  <c r="Q17" i="5"/>
  <c r="M17" i="5"/>
  <c r="V19" i="5"/>
  <c r="Z18" i="5"/>
  <c r="O18" i="5" s="1"/>
  <c r="V5" i="12"/>
  <c r="W5" i="12" s="1"/>
  <c r="AI5" i="12"/>
  <c r="AD4" i="12"/>
  <c r="AG4" i="12" s="1"/>
  <c r="B6" i="12"/>
  <c r="A7" i="12"/>
  <c r="S6" i="12"/>
  <c r="AJ5" i="12"/>
  <c r="AK5" i="12"/>
  <c r="AA5" i="12"/>
  <c r="AC5" i="12"/>
  <c r="AB5" i="12"/>
  <c r="AF5" i="12" s="1"/>
  <c r="T6" i="12"/>
  <c r="U6" i="12" s="1"/>
  <c r="Q6" i="12"/>
  <c r="P7" i="12"/>
  <c r="R6" i="12"/>
  <c r="U5" i="12"/>
  <c r="C14" i="4"/>
  <c r="D13" i="4"/>
  <c r="AI6" i="12" l="1"/>
  <c r="Y6" i="12"/>
  <c r="X6" i="12"/>
  <c r="Q18" i="5"/>
  <c r="M18" i="5"/>
  <c r="V20" i="5"/>
  <c r="Z20" i="5" s="1"/>
  <c r="Z19" i="5"/>
  <c r="O19" i="5" s="1"/>
  <c r="V6" i="12"/>
  <c r="W6" i="12" s="1"/>
  <c r="Q7" i="12"/>
  <c r="P8" i="12"/>
  <c r="R7" i="12"/>
  <c r="AD5" i="12"/>
  <c r="AG5" i="12" s="1"/>
  <c r="B7" i="12"/>
  <c r="A8" i="12"/>
  <c r="S7" i="12"/>
  <c r="T7" i="12"/>
  <c r="U7" i="12" s="1"/>
  <c r="AJ6" i="12"/>
  <c r="AK6" i="12"/>
  <c r="AA6" i="12"/>
  <c r="AC6" i="12"/>
  <c r="AB6" i="12"/>
  <c r="AF6" i="12" s="1"/>
  <c r="D14" i="4"/>
  <c r="C15" i="4"/>
  <c r="Y7" i="12" l="1"/>
  <c r="X7" i="12"/>
  <c r="Q19" i="5"/>
  <c r="M19" i="5"/>
  <c r="V21" i="5"/>
  <c r="O20" i="5"/>
  <c r="V7" i="12"/>
  <c r="AD6" i="12"/>
  <c r="AG6" i="12" s="1"/>
  <c r="B8" i="12"/>
  <c r="A9" i="12"/>
  <c r="S8" i="12"/>
  <c r="AI7" i="12"/>
  <c r="T8" i="12"/>
  <c r="T9" i="12" s="1"/>
  <c r="AJ7" i="12"/>
  <c r="AK7" i="12"/>
  <c r="AB7" i="12"/>
  <c r="AF7" i="12" s="1"/>
  <c r="AA7" i="12"/>
  <c r="AC7" i="12"/>
  <c r="Q8" i="12"/>
  <c r="P9" i="12"/>
  <c r="R8" i="12"/>
  <c r="D15" i="4"/>
  <c r="C16" i="4"/>
  <c r="AD7" i="12" l="1"/>
  <c r="AG7" i="12" s="1"/>
  <c r="U8" i="12"/>
  <c r="Y8" i="12"/>
  <c r="X8" i="12"/>
  <c r="W7" i="12"/>
  <c r="V8" i="12"/>
  <c r="W8" i="12" s="1"/>
  <c r="Q20" i="5"/>
  <c r="M20" i="5"/>
  <c r="V22" i="5"/>
  <c r="Z21" i="5"/>
  <c r="O21" i="5" s="1"/>
  <c r="P10" i="12"/>
  <c r="Q9" i="12"/>
  <c r="AI9" i="12" s="1"/>
  <c r="R9" i="12"/>
  <c r="AJ8" i="12"/>
  <c r="AK8" i="12"/>
  <c r="AB8" i="12"/>
  <c r="AF8" i="12" s="1"/>
  <c r="AA8" i="12"/>
  <c r="AC8" i="12"/>
  <c r="B9" i="12"/>
  <c r="A10" i="12"/>
  <c r="S9" i="12"/>
  <c r="AI8" i="12"/>
  <c r="C17" i="4"/>
  <c r="D16" i="4"/>
  <c r="X9" i="12" l="1"/>
  <c r="Y9" i="12"/>
  <c r="M21" i="5"/>
  <c r="Q21" i="5"/>
  <c r="V23" i="5"/>
  <c r="Z22" i="5"/>
  <c r="O22" i="5" s="1"/>
  <c r="Q22" i="5" s="1"/>
  <c r="AD8" i="12"/>
  <c r="AG8" i="12" s="1"/>
  <c r="AB9" i="12"/>
  <c r="AF9" i="12" s="1"/>
  <c r="AJ9" i="12"/>
  <c r="AC9" i="12"/>
  <c r="AA9" i="12"/>
  <c r="AK9" i="12"/>
  <c r="P11" i="12"/>
  <c r="Q10" i="12"/>
  <c r="R10" i="12"/>
  <c r="V9" i="12"/>
  <c r="W9" i="12" s="1"/>
  <c r="T10" i="12"/>
  <c r="U9" i="12"/>
  <c r="S10" i="12"/>
  <c r="B10" i="12"/>
  <c r="A11" i="12"/>
  <c r="C18" i="4"/>
  <c r="D17" i="4"/>
  <c r="Y10" i="12" l="1"/>
  <c r="X10" i="12"/>
  <c r="V10" i="12"/>
  <c r="W10" i="12" s="1"/>
  <c r="M22" i="5"/>
  <c r="V24" i="5"/>
  <c r="Z23" i="5"/>
  <c r="O23" i="5" s="1"/>
  <c r="Q23" i="5" s="1"/>
  <c r="AD9" i="12"/>
  <c r="AG9" i="12" s="1"/>
  <c r="S11" i="12"/>
  <c r="A12" i="12"/>
  <c r="B11" i="12"/>
  <c r="T11" i="12"/>
  <c r="U10" i="12"/>
  <c r="P12" i="12"/>
  <c r="Q11" i="12"/>
  <c r="R11" i="12"/>
  <c r="AA10" i="12"/>
  <c r="AK10" i="12"/>
  <c r="AJ10" i="12"/>
  <c r="AC10" i="12"/>
  <c r="AB10" i="12"/>
  <c r="AF10" i="12" s="1"/>
  <c r="AI10" i="12"/>
  <c r="D18" i="4"/>
  <c r="C19" i="4"/>
  <c r="Y11" i="12" l="1"/>
  <c r="X11" i="12"/>
  <c r="M23" i="5"/>
  <c r="V25" i="5"/>
  <c r="Z24" i="5"/>
  <c r="O24" i="5" s="1"/>
  <c r="Q24" i="5" s="1"/>
  <c r="AI11" i="12"/>
  <c r="AD10" i="12"/>
  <c r="AG10" i="12" s="1"/>
  <c r="A13" i="12"/>
  <c r="S12" i="12"/>
  <c r="B12" i="12"/>
  <c r="Q12" i="12"/>
  <c r="P13" i="12"/>
  <c r="R12" i="12"/>
  <c r="T12" i="12"/>
  <c r="U11" i="12"/>
  <c r="AK11" i="12"/>
  <c r="AB11" i="12"/>
  <c r="AF11" i="12" s="1"/>
  <c r="AC11" i="12"/>
  <c r="AA11" i="12"/>
  <c r="AJ11" i="12"/>
  <c r="V11" i="12"/>
  <c r="W11" i="12" s="1"/>
  <c r="C20" i="4"/>
  <c r="D19" i="4"/>
  <c r="X12" i="12" l="1"/>
  <c r="Y12" i="12"/>
  <c r="V26" i="5"/>
  <c r="Z25" i="5"/>
  <c r="O25" i="5" s="1"/>
  <c r="Q25" i="5" s="1"/>
  <c r="M24" i="5"/>
  <c r="V12" i="12"/>
  <c r="W12" i="12" s="1"/>
  <c r="P14" i="12"/>
  <c r="Q13" i="12"/>
  <c r="R13" i="12"/>
  <c r="T13" i="12"/>
  <c r="U12" i="12"/>
  <c r="B13" i="12"/>
  <c r="A14" i="12"/>
  <c r="S13" i="12"/>
  <c r="AD11" i="12"/>
  <c r="AG11" i="12" s="1"/>
  <c r="AJ12" i="12"/>
  <c r="AK12" i="12"/>
  <c r="AB12" i="12"/>
  <c r="AF12" i="12" s="1"/>
  <c r="AA12" i="12"/>
  <c r="AC12" i="12"/>
  <c r="AD12" i="12" s="1"/>
  <c r="AG12" i="12" s="1"/>
  <c r="AI12" i="12"/>
  <c r="D20" i="4"/>
  <c r="C21" i="4"/>
  <c r="X13" i="12" l="1"/>
  <c r="Y13" i="12"/>
  <c r="V27" i="5"/>
  <c r="Z26" i="5"/>
  <c r="O26" i="5" s="1"/>
  <c r="Q26" i="5" s="1"/>
  <c r="M25" i="5"/>
  <c r="AB13" i="12"/>
  <c r="AF13" i="12" s="1"/>
  <c r="AJ13" i="12"/>
  <c r="AC13" i="12"/>
  <c r="AD13" i="12" s="1"/>
  <c r="AG13" i="12" s="1"/>
  <c r="AK13" i="12"/>
  <c r="AA13" i="12"/>
  <c r="V13" i="12"/>
  <c r="W13" i="12" s="1"/>
  <c r="P15" i="12"/>
  <c r="Q14" i="12"/>
  <c r="R14" i="12"/>
  <c r="S14" i="12"/>
  <c r="B14" i="12"/>
  <c r="A15" i="12"/>
  <c r="T14" i="12"/>
  <c r="U13" i="12"/>
  <c r="AI13" i="12"/>
  <c r="C22" i="4"/>
  <c r="D21" i="4"/>
  <c r="Y14" i="12" l="1"/>
  <c r="X14" i="12"/>
  <c r="M26" i="5"/>
  <c r="V28" i="5"/>
  <c r="Z27" i="5"/>
  <c r="O27" i="5" s="1"/>
  <c r="Q27" i="5" s="1"/>
  <c r="AI14" i="12"/>
  <c r="V14" i="12"/>
  <c r="W14" i="12" s="1"/>
  <c r="S15" i="12"/>
  <c r="A16" i="12"/>
  <c r="B15" i="12"/>
  <c r="P16" i="12"/>
  <c r="Q15" i="12"/>
  <c r="R15" i="12"/>
  <c r="T15" i="12"/>
  <c r="U14" i="12"/>
  <c r="AA14" i="12"/>
  <c r="AK14" i="12"/>
  <c r="AJ14" i="12"/>
  <c r="AC14" i="12"/>
  <c r="AB14" i="12"/>
  <c r="AF14" i="12" s="1"/>
  <c r="C23" i="4"/>
  <c r="D22" i="4"/>
  <c r="AI15" i="12" l="1"/>
  <c r="Y15" i="12"/>
  <c r="X15" i="12"/>
  <c r="V29" i="5"/>
  <c r="Z28" i="5"/>
  <c r="O28" i="5" s="1"/>
  <c r="Q28" i="5" s="1"/>
  <c r="M27" i="5"/>
  <c r="V15" i="12"/>
  <c r="W15" i="12" s="1"/>
  <c r="AD14" i="12"/>
  <c r="AG14" i="12" s="1"/>
  <c r="P17" i="12"/>
  <c r="Q16" i="12"/>
  <c r="R16" i="12"/>
  <c r="A17" i="12"/>
  <c r="S16" i="12"/>
  <c r="B16" i="12"/>
  <c r="T16" i="12"/>
  <c r="U16" i="12" s="1"/>
  <c r="AK15" i="12"/>
  <c r="AA15" i="12"/>
  <c r="AC15" i="12"/>
  <c r="AB15" i="12"/>
  <c r="AF15" i="12" s="1"/>
  <c r="AJ15" i="12"/>
  <c r="U15" i="12"/>
  <c r="D23" i="4"/>
  <c r="C24" i="4"/>
  <c r="X16" i="12" l="1"/>
  <c r="Y16" i="12"/>
  <c r="V30" i="5"/>
  <c r="Z29" i="5"/>
  <c r="O29" i="5" s="1"/>
  <c r="Q29" i="5" s="1"/>
  <c r="M28" i="5"/>
  <c r="V16" i="12"/>
  <c r="W16" i="12" s="1"/>
  <c r="AD15" i="12"/>
  <c r="AG15" i="12" s="1"/>
  <c r="T17" i="12"/>
  <c r="P18" i="12"/>
  <c r="Q17" i="12"/>
  <c r="R17" i="12"/>
  <c r="AI16" i="12"/>
  <c r="AJ16" i="12"/>
  <c r="AK16" i="12"/>
  <c r="AB16" i="12"/>
  <c r="AF16" i="12" s="1"/>
  <c r="AA16" i="12"/>
  <c r="AC16" i="12"/>
  <c r="AD16" i="12" s="1"/>
  <c r="AG16" i="12" s="1"/>
  <c r="B17" i="12"/>
  <c r="S17" i="12"/>
  <c r="A18" i="12"/>
  <c r="C25" i="4"/>
  <c r="D24" i="4"/>
  <c r="X17" i="12" l="1"/>
  <c r="Y17" i="12"/>
  <c r="M29" i="5"/>
  <c r="V31" i="5"/>
  <c r="Z30" i="5"/>
  <c r="O30" i="5" s="1"/>
  <c r="Q30" i="5" s="1"/>
  <c r="V17" i="12"/>
  <c r="W17" i="12" s="1"/>
  <c r="P19" i="12"/>
  <c r="Q18" i="12"/>
  <c r="R18" i="12"/>
  <c r="AI18" i="12" s="1"/>
  <c r="T18" i="12"/>
  <c r="U18" i="12" s="1"/>
  <c r="U17" i="12"/>
  <c r="AI17" i="12"/>
  <c r="S18" i="12"/>
  <c r="B18" i="12"/>
  <c r="A19" i="12"/>
  <c r="AB17" i="12"/>
  <c r="AF17" i="12" s="1"/>
  <c r="AJ17" i="12"/>
  <c r="AC17" i="12"/>
  <c r="AA17" i="12"/>
  <c r="AK17" i="12"/>
  <c r="D25" i="4"/>
  <c r="C26" i="4"/>
  <c r="Y18" i="12" l="1"/>
  <c r="X18" i="12"/>
  <c r="M30" i="5"/>
  <c r="Z31" i="5"/>
  <c r="O31" i="5" s="1"/>
  <c r="Q31" i="5" s="1"/>
  <c r="M31" i="5"/>
  <c r="V32" i="5"/>
  <c r="V18" i="12"/>
  <c r="W18" i="12" s="1"/>
  <c r="S19" i="12"/>
  <c r="A20" i="12"/>
  <c r="B19" i="12"/>
  <c r="AD17" i="12"/>
  <c r="AG17" i="12" s="1"/>
  <c r="AA18" i="12"/>
  <c r="AK18" i="12"/>
  <c r="AJ18" i="12"/>
  <c r="AC18" i="12"/>
  <c r="AB18" i="12"/>
  <c r="AF18" i="12" s="1"/>
  <c r="P20" i="12"/>
  <c r="Q19" i="12"/>
  <c r="R19" i="12"/>
  <c r="T19" i="12"/>
  <c r="U19" i="12" s="1"/>
  <c r="C27" i="4"/>
  <c r="D26" i="4"/>
  <c r="Y19" i="12" l="1"/>
  <c r="X19" i="12"/>
  <c r="Z32" i="5"/>
  <c r="O32" i="5" s="1"/>
  <c r="Q32" i="5" s="1"/>
  <c r="V33" i="5"/>
  <c r="AD18" i="12"/>
  <c r="AG18" i="12" s="1"/>
  <c r="AI19" i="12"/>
  <c r="A21" i="12"/>
  <c r="S20" i="12"/>
  <c r="B20" i="12"/>
  <c r="Q20" i="12"/>
  <c r="P21" i="12"/>
  <c r="R20" i="12"/>
  <c r="AK19" i="12"/>
  <c r="AC19" i="12"/>
  <c r="AJ19" i="12"/>
  <c r="AB19" i="12"/>
  <c r="AF19" i="12" s="1"/>
  <c r="AA19" i="12"/>
  <c r="T20" i="12"/>
  <c r="V19" i="12"/>
  <c r="W19" i="12" s="1"/>
  <c r="C28" i="4"/>
  <c r="D27" i="4"/>
  <c r="X20" i="12" l="1"/>
  <c r="Y20" i="12"/>
  <c r="M32" i="5"/>
  <c r="V34" i="5"/>
  <c r="Z33" i="5"/>
  <c r="O33" i="5" s="1"/>
  <c r="Q33" i="5" s="1"/>
  <c r="M33" i="5"/>
  <c r="AD19" i="12"/>
  <c r="AG19" i="12" s="1"/>
  <c r="T21" i="12"/>
  <c r="U20" i="12"/>
  <c r="B21" i="12"/>
  <c r="A22" i="12"/>
  <c r="S21" i="12"/>
  <c r="U21" i="12"/>
  <c r="AJ20" i="12"/>
  <c r="AK20" i="12"/>
  <c r="AB20" i="12"/>
  <c r="AF20" i="12" s="1"/>
  <c r="AC20" i="12"/>
  <c r="AA20" i="12"/>
  <c r="P22" i="12"/>
  <c r="Q21" i="12"/>
  <c r="R21" i="12"/>
  <c r="V20" i="12"/>
  <c r="W20" i="12" s="1"/>
  <c r="AI20" i="12"/>
  <c r="D28" i="4"/>
  <c r="C29" i="4"/>
  <c r="X21" i="12" l="1"/>
  <c r="Y21" i="12"/>
  <c r="V35" i="5"/>
  <c r="Z34" i="5"/>
  <c r="O34" i="5" s="1"/>
  <c r="Q34" i="5" s="1"/>
  <c r="M34" i="5"/>
  <c r="AD20" i="12"/>
  <c r="AG20" i="12" s="1"/>
  <c r="P23" i="12"/>
  <c r="Q22" i="12"/>
  <c r="R22" i="12"/>
  <c r="AI21" i="12"/>
  <c r="AB21" i="12"/>
  <c r="AF21" i="12" s="1"/>
  <c r="AJ21" i="12"/>
  <c r="AC21" i="12"/>
  <c r="AK21" i="12"/>
  <c r="AA21" i="12"/>
  <c r="V21" i="12"/>
  <c r="W21" i="12" s="1"/>
  <c r="S22" i="12"/>
  <c r="B22" i="12"/>
  <c r="A23" i="12"/>
  <c r="T22" i="12"/>
  <c r="D29" i="4"/>
  <c r="C30" i="4"/>
  <c r="Y22" i="12" l="1"/>
  <c r="X22" i="12"/>
  <c r="V36" i="5"/>
  <c r="Z35" i="5"/>
  <c r="O35" i="5" s="1"/>
  <c r="Q35" i="5" s="1"/>
  <c r="M35" i="5"/>
  <c r="AA22" i="12"/>
  <c r="AK22" i="12"/>
  <c r="AJ22" i="12"/>
  <c r="AC22" i="12"/>
  <c r="AB22" i="12"/>
  <c r="AF22" i="12" s="1"/>
  <c r="P24" i="12"/>
  <c r="Q23" i="12"/>
  <c r="R23" i="12"/>
  <c r="T23" i="12"/>
  <c r="U22" i="12"/>
  <c r="V22" i="12"/>
  <c r="W22" i="12" s="1"/>
  <c r="AI22" i="12"/>
  <c r="S23" i="12"/>
  <c r="B23" i="12"/>
  <c r="A24" i="12"/>
  <c r="AD21" i="12"/>
  <c r="AG21" i="12" s="1"/>
  <c r="C31" i="4"/>
  <c r="D30" i="4"/>
  <c r="X23" i="12" l="1"/>
  <c r="Y23" i="12"/>
  <c r="V37" i="5"/>
  <c r="Z36" i="5"/>
  <c r="O36" i="5" s="1"/>
  <c r="Q36" i="5" s="1"/>
  <c r="M36" i="5"/>
  <c r="V23" i="12"/>
  <c r="W23" i="12" s="1"/>
  <c r="AK23" i="12"/>
  <c r="AB23" i="12"/>
  <c r="AF23" i="12" s="1"/>
  <c r="AC23" i="12"/>
  <c r="AJ23" i="12"/>
  <c r="AA23" i="12"/>
  <c r="Q24" i="12"/>
  <c r="P25" i="12"/>
  <c r="R24" i="12"/>
  <c r="T24" i="12"/>
  <c r="U23" i="12"/>
  <c r="A25" i="12"/>
  <c r="S24" i="12"/>
  <c r="B24" i="12"/>
  <c r="AD22" i="12"/>
  <c r="AG22" i="12" s="1"/>
  <c r="AI23" i="12"/>
  <c r="D31" i="4"/>
  <c r="C32" i="4"/>
  <c r="X24" i="12" l="1"/>
  <c r="Y24" i="12"/>
  <c r="V24" i="12"/>
  <c r="W24" i="12" s="1"/>
  <c r="V38" i="5"/>
  <c r="Z37" i="5"/>
  <c r="O37" i="5" s="1"/>
  <c r="Q37" i="5" s="1"/>
  <c r="AD23" i="12"/>
  <c r="AG23" i="12" s="1"/>
  <c r="B25" i="12"/>
  <c r="A26" i="12"/>
  <c r="S25" i="12"/>
  <c r="T25" i="12"/>
  <c r="U24" i="12"/>
  <c r="AI24" i="12"/>
  <c r="P26" i="12"/>
  <c r="Q25" i="12"/>
  <c r="R25" i="12"/>
  <c r="AJ24" i="12"/>
  <c r="AK24" i="12"/>
  <c r="AB24" i="12"/>
  <c r="AF24" i="12" s="1"/>
  <c r="AA24" i="12"/>
  <c r="AC24" i="12"/>
  <c r="AD24" i="12" s="1"/>
  <c r="AG24" i="12" s="1"/>
  <c r="D32" i="4"/>
  <c r="C33" i="4"/>
  <c r="X25" i="12" l="1"/>
  <c r="Y25" i="12"/>
  <c r="M37" i="5"/>
  <c r="V39" i="5"/>
  <c r="Z38" i="5"/>
  <c r="O38" i="5" s="1"/>
  <c r="Q38" i="5" s="1"/>
  <c r="T26" i="12"/>
  <c r="AB25" i="12"/>
  <c r="AF25" i="12" s="1"/>
  <c r="AJ25" i="12"/>
  <c r="AC25" i="12"/>
  <c r="AK25" i="12"/>
  <c r="AA25" i="12"/>
  <c r="P27" i="12"/>
  <c r="Q26" i="12"/>
  <c r="R26" i="12"/>
  <c r="V25" i="12"/>
  <c r="W25" i="12" s="1"/>
  <c r="U25" i="12"/>
  <c r="S26" i="12"/>
  <c r="B26" i="12"/>
  <c r="A27" i="12"/>
  <c r="AI25" i="12"/>
  <c r="D33" i="4"/>
  <c r="C34" i="4"/>
  <c r="X26" i="12" l="1"/>
  <c r="Y26" i="12"/>
  <c r="M38" i="5"/>
  <c r="V40" i="5"/>
  <c r="Z39" i="5"/>
  <c r="O39" i="5" s="1"/>
  <c r="Q39" i="5" s="1"/>
  <c r="AD25" i="12"/>
  <c r="AG25" i="12" s="1"/>
  <c r="S27" i="12"/>
  <c r="B27" i="12"/>
  <c r="A28" i="12"/>
  <c r="P28" i="12"/>
  <c r="Q27" i="12"/>
  <c r="R27" i="12"/>
  <c r="AA26" i="12"/>
  <c r="AK26" i="12"/>
  <c r="AJ26" i="12"/>
  <c r="AC26" i="12"/>
  <c r="AB26" i="12"/>
  <c r="T27" i="12"/>
  <c r="U26" i="12"/>
  <c r="V26" i="12"/>
  <c r="W26" i="12" s="1"/>
  <c r="AI26" i="12"/>
  <c r="C35" i="4"/>
  <c r="D35" i="4" s="1"/>
  <c r="D34" i="4"/>
  <c r="X27" i="12" l="1"/>
  <c r="Y27" i="12"/>
  <c r="M39" i="5"/>
  <c r="V41" i="5"/>
  <c r="Z40" i="5"/>
  <c r="O40" i="5" s="1"/>
  <c r="Q40" i="5" s="1"/>
  <c r="V27" i="12"/>
  <c r="W27" i="12" s="1"/>
  <c r="AK27" i="12"/>
  <c r="AB27" i="12"/>
  <c r="AF27" i="12" s="1"/>
  <c r="AA27" i="12"/>
  <c r="AJ27" i="12"/>
  <c r="AC27" i="12"/>
  <c r="T28" i="12"/>
  <c r="U27" i="12"/>
  <c r="AD26" i="12"/>
  <c r="AG26" i="12" s="1"/>
  <c r="AF26" i="12"/>
  <c r="P29" i="12"/>
  <c r="Q28" i="12"/>
  <c r="R28" i="12"/>
  <c r="AI27" i="12"/>
  <c r="A29" i="12"/>
  <c r="S28" i="12"/>
  <c r="B28" i="12"/>
  <c r="X28" i="12" l="1"/>
  <c r="Y28" i="12"/>
  <c r="M40" i="5"/>
  <c r="V42" i="5"/>
  <c r="Z41" i="5"/>
  <c r="O41" i="5" s="1"/>
  <c r="Q41" i="5" s="1"/>
  <c r="B29" i="12"/>
  <c r="A30" i="12"/>
  <c r="S29" i="12"/>
  <c r="P30" i="12"/>
  <c r="Q29" i="12"/>
  <c r="R29" i="12"/>
  <c r="T29" i="12"/>
  <c r="AD27" i="12"/>
  <c r="AG27" i="12" s="1"/>
  <c r="AJ28" i="12"/>
  <c r="AK28" i="12"/>
  <c r="AB28" i="12"/>
  <c r="AF28" i="12" s="1"/>
  <c r="AA28" i="12"/>
  <c r="AC28" i="12"/>
  <c r="V28" i="12"/>
  <c r="W28" i="12" s="1"/>
  <c r="U29" i="12"/>
  <c r="U28" i="12"/>
  <c r="AI28" i="12"/>
  <c r="AI29" i="12" l="1"/>
  <c r="X29" i="12"/>
  <c r="Y29" i="12"/>
  <c r="M41" i="5"/>
  <c r="V43" i="5"/>
  <c r="Z42" i="5"/>
  <c r="O42" i="5" s="1"/>
  <c r="Q42" i="5" s="1"/>
  <c r="AD28" i="12"/>
  <c r="AG28" i="12" s="1"/>
  <c r="S30" i="12"/>
  <c r="B30" i="12"/>
  <c r="A31" i="12"/>
  <c r="T30" i="12"/>
  <c r="P31" i="12"/>
  <c r="Q30" i="12"/>
  <c r="R30" i="12"/>
  <c r="AB29" i="12"/>
  <c r="AF29" i="12" s="1"/>
  <c r="AJ29" i="12"/>
  <c r="AC29" i="12"/>
  <c r="AA29" i="12"/>
  <c r="AK29" i="12"/>
  <c r="V29" i="12"/>
  <c r="W29" i="12" s="1"/>
  <c r="X30" i="12" l="1"/>
  <c r="Y30" i="12"/>
  <c r="M42" i="5"/>
  <c r="V44" i="5"/>
  <c r="Z43" i="5"/>
  <c r="O43" i="5" s="1"/>
  <c r="Q43" i="5" s="1"/>
  <c r="S31" i="12"/>
  <c r="B31" i="12"/>
  <c r="A32" i="12"/>
  <c r="T31" i="12"/>
  <c r="U31" i="12" s="1"/>
  <c r="U30" i="12"/>
  <c r="AA30" i="12"/>
  <c r="AK30" i="12"/>
  <c r="AJ30" i="12"/>
  <c r="AC30" i="12"/>
  <c r="AB30" i="12"/>
  <c r="AF30" i="12" s="1"/>
  <c r="AD29" i="12"/>
  <c r="AG29" i="12" s="1"/>
  <c r="AI30" i="12"/>
  <c r="V30" i="12"/>
  <c r="W30" i="12" s="1"/>
  <c r="P32" i="12"/>
  <c r="Q31" i="12"/>
  <c r="R31" i="12"/>
  <c r="X31" i="12" l="1"/>
  <c r="Y31" i="12"/>
  <c r="M43" i="5"/>
  <c r="V45" i="5"/>
  <c r="Z44" i="5"/>
  <c r="O44" i="5" s="1"/>
  <c r="Q44" i="5" s="1"/>
  <c r="AD30" i="12"/>
  <c r="AG30" i="12" s="1"/>
  <c r="AK31" i="12"/>
  <c r="AC31" i="12"/>
  <c r="AA31" i="12"/>
  <c r="AJ31" i="12"/>
  <c r="AB31" i="12"/>
  <c r="AF31" i="12" s="1"/>
  <c r="AI31" i="12"/>
  <c r="V31" i="12"/>
  <c r="W31" i="12" s="1"/>
  <c r="Q32" i="12"/>
  <c r="P33" i="12"/>
  <c r="R32" i="12"/>
  <c r="T32" i="12"/>
  <c r="A33" i="12"/>
  <c r="S32" i="12"/>
  <c r="B32" i="12"/>
  <c r="X32" i="12" l="1"/>
  <c r="Y32" i="12"/>
  <c r="M44" i="5"/>
  <c r="V46" i="5"/>
  <c r="Z45" i="5"/>
  <c r="O45" i="5" s="1"/>
  <c r="Q45" i="5" s="1"/>
  <c r="M45" i="5"/>
  <c r="V32" i="12"/>
  <c r="W32" i="12" s="1"/>
  <c r="T33" i="12"/>
  <c r="U33" i="12" s="1"/>
  <c r="U32" i="12"/>
  <c r="B33" i="12"/>
  <c r="A34" i="12"/>
  <c r="S33" i="12"/>
  <c r="AJ32" i="12"/>
  <c r="AK32" i="12"/>
  <c r="AB32" i="12"/>
  <c r="AF32" i="12" s="1"/>
  <c r="AA32" i="12"/>
  <c r="AC32" i="12"/>
  <c r="AD32" i="12" s="1"/>
  <c r="AG32" i="12" s="1"/>
  <c r="P34" i="12"/>
  <c r="Q33" i="12"/>
  <c r="R33" i="12"/>
  <c r="AI32" i="12"/>
  <c r="AD31" i="12"/>
  <c r="AG31" i="12" s="1"/>
  <c r="X33" i="12" l="1"/>
  <c r="Y33" i="12"/>
  <c r="V47" i="5"/>
  <c r="Z46" i="5"/>
  <c r="O46" i="5" s="1"/>
  <c r="Q46" i="5" s="1"/>
  <c r="M46" i="5"/>
  <c r="V33" i="12"/>
  <c r="W33" i="12" s="1"/>
  <c r="AI33" i="12"/>
  <c r="AB33" i="12"/>
  <c r="AF33" i="12" s="1"/>
  <c r="AJ33" i="12"/>
  <c r="AC33" i="12"/>
  <c r="AK33" i="12"/>
  <c r="AA33" i="12"/>
  <c r="P35" i="12"/>
  <c r="Q34" i="12"/>
  <c r="R34" i="12"/>
  <c r="S34" i="12"/>
  <c r="A35" i="12"/>
  <c r="B34" i="12"/>
  <c r="T34" i="12"/>
  <c r="X34" i="12" l="1"/>
  <c r="Y34" i="12"/>
  <c r="V48" i="5"/>
  <c r="Z47" i="5"/>
  <c r="O47" i="5" s="1"/>
  <c r="Q47" i="5" s="1"/>
  <c r="M47" i="5"/>
  <c r="AA34" i="12"/>
  <c r="AK34" i="12"/>
  <c r="AJ34" i="12"/>
  <c r="AC34" i="12"/>
  <c r="AB34" i="12"/>
  <c r="V34" i="12"/>
  <c r="W34" i="12" s="1"/>
  <c r="AD33" i="12"/>
  <c r="AG33" i="12" s="1"/>
  <c r="AI34" i="12"/>
  <c r="T35" i="12"/>
  <c r="U35" i="12" s="1"/>
  <c r="U34" i="12"/>
  <c r="S35" i="12"/>
  <c r="B35" i="12"/>
  <c r="A36" i="12"/>
  <c r="P36" i="12"/>
  <c r="Q35" i="12"/>
  <c r="R35" i="12"/>
  <c r="X35" i="12" l="1"/>
  <c r="Y35" i="12"/>
  <c r="V49" i="5"/>
  <c r="Z48" i="5"/>
  <c r="O48" i="5" s="1"/>
  <c r="Q48" i="5" s="1"/>
  <c r="M48" i="5"/>
  <c r="V35" i="12"/>
  <c r="W35" i="12" s="1"/>
  <c r="AK35" i="12"/>
  <c r="AB35" i="12"/>
  <c r="AF35" i="12" s="1"/>
  <c r="AA35" i="12"/>
  <c r="AC35" i="12"/>
  <c r="AJ35" i="12"/>
  <c r="T36" i="12"/>
  <c r="AD34" i="12"/>
  <c r="AG34" i="12" s="1"/>
  <c r="AF34" i="12"/>
  <c r="P37" i="12"/>
  <c r="Q36" i="12"/>
  <c r="R36" i="12"/>
  <c r="A37" i="12"/>
  <c r="S36" i="12"/>
  <c r="B36" i="12"/>
  <c r="AI35" i="12"/>
  <c r="X36" i="12" l="1"/>
  <c r="Y36" i="12"/>
  <c r="V50" i="5"/>
  <c r="Z49" i="5"/>
  <c r="O49" i="5" s="1"/>
  <c r="Q49" i="5" s="1"/>
  <c r="M49" i="5"/>
  <c r="V36" i="12"/>
  <c r="W36" i="12" s="1"/>
  <c r="B37" i="12"/>
  <c r="A38" i="12"/>
  <c r="S37" i="12"/>
  <c r="AJ36" i="12"/>
  <c r="AK36" i="12"/>
  <c r="AB36" i="12"/>
  <c r="AF36" i="12" s="1"/>
  <c r="AC36" i="12"/>
  <c r="AA36" i="12"/>
  <c r="T37" i="12"/>
  <c r="U37" i="12" s="1"/>
  <c r="U36" i="12"/>
  <c r="P38" i="12"/>
  <c r="Q37" i="12"/>
  <c r="R37" i="12"/>
  <c r="AD35" i="12"/>
  <c r="AG35" i="12" s="1"/>
  <c r="AI36" i="12"/>
  <c r="X37" i="12" l="1"/>
  <c r="Y37" i="12"/>
  <c r="V51" i="5"/>
  <c r="Z50" i="5"/>
  <c r="O50" i="5" s="1"/>
  <c r="Q50" i="5" s="1"/>
  <c r="AD36" i="12"/>
  <c r="AG36" i="12" s="1"/>
  <c r="AB37" i="12"/>
  <c r="AF37" i="12" s="1"/>
  <c r="AJ37" i="12"/>
  <c r="AC37" i="12"/>
  <c r="AK37" i="12"/>
  <c r="AA37" i="12"/>
  <c r="V37" i="12"/>
  <c r="W37" i="12" s="1"/>
  <c r="T38" i="12"/>
  <c r="U38" i="12" s="1"/>
  <c r="S38" i="12"/>
  <c r="A39" i="12"/>
  <c r="B38" i="12"/>
  <c r="AI37" i="12"/>
  <c r="P39" i="12"/>
  <c r="Q38" i="12"/>
  <c r="R38" i="12"/>
  <c r="X38" i="12" l="1"/>
  <c r="Y38" i="12"/>
  <c r="M50" i="5"/>
  <c r="V52" i="5"/>
  <c r="Z51" i="5"/>
  <c r="O51" i="5" s="1"/>
  <c r="Q51" i="5" s="1"/>
  <c r="AI38" i="12"/>
  <c r="AD37" i="12"/>
  <c r="AG37" i="12" s="1"/>
  <c r="P40" i="12"/>
  <c r="Q39" i="12"/>
  <c r="AI39" i="12" s="1"/>
  <c r="R39" i="12"/>
  <c r="V38" i="12"/>
  <c r="W38" i="12" s="1"/>
  <c r="S39" i="12"/>
  <c r="B39" i="12"/>
  <c r="A40" i="12"/>
  <c r="AA38" i="12"/>
  <c r="AK38" i="12"/>
  <c r="AJ38" i="12"/>
  <c r="AC38" i="12"/>
  <c r="AB38" i="12"/>
  <c r="AF38" i="12" s="1"/>
  <c r="T39" i="12"/>
  <c r="X39" i="12" l="1"/>
  <c r="Y39" i="12"/>
  <c r="M51" i="5"/>
  <c r="V53" i="5"/>
  <c r="Z52" i="5"/>
  <c r="O52" i="5" s="1"/>
  <c r="Q52" i="5" s="1"/>
  <c r="M52" i="5"/>
  <c r="AD38" i="12"/>
  <c r="AG38" i="12" s="1"/>
  <c r="T40" i="12"/>
  <c r="U40" i="12"/>
  <c r="U39" i="12"/>
  <c r="AK39" i="12"/>
  <c r="AJ39" i="12"/>
  <c r="AB39" i="12"/>
  <c r="AF39" i="12" s="1"/>
  <c r="AA39" i="12"/>
  <c r="AC39" i="12"/>
  <c r="V39" i="12"/>
  <c r="W39" i="12" s="1"/>
  <c r="A41" i="12"/>
  <c r="S40" i="12"/>
  <c r="B40" i="12"/>
  <c r="P41" i="12"/>
  <c r="Q40" i="12"/>
  <c r="R40" i="12"/>
  <c r="X40" i="12" l="1"/>
  <c r="Y40" i="12"/>
  <c r="V54" i="5"/>
  <c r="Z53" i="5"/>
  <c r="O53" i="5" s="1"/>
  <c r="Q53" i="5" s="1"/>
  <c r="AD39" i="12"/>
  <c r="AG39" i="12" s="1"/>
  <c r="P42" i="12"/>
  <c r="Q41" i="12"/>
  <c r="R41" i="12"/>
  <c r="B41" i="12"/>
  <c r="A42" i="12"/>
  <c r="S41" i="12"/>
  <c r="AJ40" i="12"/>
  <c r="AK40" i="12"/>
  <c r="AB40" i="12"/>
  <c r="AF40" i="12" s="1"/>
  <c r="AA40" i="12"/>
  <c r="AC40" i="12"/>
  <c r="V40" i="12"/>
  <c r="W40" i="12" s="1"/>
  <c r="AI40" i="12"/>
  <c r="T41" i="12"/>
  <c r="X41" i="12" l="1"/>
  <c r="Y41" i="12"/>
  <c r="M53" i="5"/>
  <c r="V55" i="5"/>
  <c r="Z54" i="5"/>
  <c r="O54" i="5" s="1"/>
  <c r="Q54" i="5" s="1"/>
  <c r="AI41" i="12"/>
  <c r="AD40" i="12"/>
  <c r="AG40" i="12" s="1"/>
  <c r="V41" i="12"/>
  <c r="W41" i="12" s="1"/>
  <c r="T42" i="12"/>
  <c r="U42" i="12" s="1"/>
  <c r="U41" i="12"/>
  <c r="S42" i="12"/>
  <c r="B42" i="12"/>
  <c r="A43" i="12"/>
  <c r="AB41" i="12"/>
  <c r="AF41" i="12" s="1"/>
  <c r="AJ41" i="12"/>
  <c r="AC41" i="12"/>
  <c r="AA41" i="12"/>
  <c r="AK41" i="12"/>
  <c r="P43" i="12"/>
  <c r="Q42" i="12"/>
  <c r="R42" i="12"/>
  <c r="AI42" i="12" l="1"/>
  <c r="X42" i="12"/>
  <c r="Y42" i="12"/>
  <c r="M54" i="5"/>
  <c r="V56" i="5"/>
  <c r="Z55" i="5"/>
  <c r="O55" i="5" s="1"/>
  <c r="Q55" i="5" s="1"/>
  <c r="AA42" i="12"/>
  <c r="AK42" i="12"/>
  <c r="AJ42" i="12"/>
  <c r="AC42" i="12"/>
  <c r="AB42" i="12"/>
  <c r="AF42" i="12" s="1"/>
  <c r="V42" i="12"/>
  <c r="W42" i="12" s="1"/>
  <c r="P44" i="12"/>
  <c r="Q43" i="12"/>
  <c r="R43" i="12"/>
  <c r="AD41" i="12"/>
  <c r="AG41" i="12" s="1"/>
  <c r="T43" i="12"/>
  <c r="S43" i="12"/>
  <c r="A44" i="12"/>
  <c r="B43" i="12"/>
  <c r="AI43" i="12" l="1"/>
  <c r="X43" i="12"/>
  <c r="Y43" i="12"/>
  <c r="M55" i="5"/>
  <c r="V57" i="5"/>
  <c r="Z56" i="5"/>
  <c r="O56" i="5" s="1"/>
  <c r="Q56" i="5" s="1"/>
  <c r="M56" i="5"/>
  <c r="V43" i="12"/>
  <c r="W43" i="12" s="1"/>
  <c r="A45" i="12"/>
  <c r="S44" i="12"/>
  <c r="B44" i="12"/>
  <c r="P45" i="12"/>
  <c r="Q44" i="12"/>
  <c r="R44" i="12"/>
  <c r="AK43" i="12"/>
  <c r="AB43" i="12"/>
  <c r="AF43" i="12" s="1"/>
  <c r="AA43" i="12"/>
  <c r="AC43" i="12"/>
  <c r="AJ43" i="12"/>
  <c r="T44" i="12"/>
  <c r="U43" i="12"/>
  <c r="AD42" i="12"/>
  <c r="AG42" i="12" s="1"/>
  <c r="AI44" i="12" l="1"/>
  <c r="X44" i="12"/>
  <c r="Y44" i="12"/>
  <c r="V58" i="5"/>
  <c r="Z57" i="5"/>
  <c r="O57" i="5" s="1"/>
  <c r="Q57" i="5" s="1"/>
  <c r="M57" i="5"/>
  <c r="AD43" i="12"/>
  <c r="AG43" i="12" s="1"/>
  <c r="V44" i="12"/>
  <c r="W44" i="12" s="1"/>
  <c r="U44" i="12"/>
  <c r="T45" i="12"/>
  <c r="U45" i="12" s="1"/>
  <c r="P46" i="12"/>
  <c r="Q45" i="12"/>
  <c r="R45" i="12"/>
  <c r="AJ44" i="12"/>
  <c r="AK44" i="12"/>
  <c r="AB44" i="12"/>
  <c r="AF44" i="12" s="1"/>
  <c r="AA44" i="12"/>
  <c r="AC44" i="12"/>
  <c r="B45" i="12"/>
  <c r="A46" i="12"/>
  <c r="S45" i="12"/>
  <c r="X45" i="12" l="1"/>
  <c r="Y45" i="12"/>
  <c r="V59" i="5"/>
  <c r="Z58" i="5"/>
  <c r="O58" i="5" s="1"/>
  <c r="Q58" i="5" s="1"/>
  <c r="M58" i="5"/>
  <c r="AD44" i="12"/>
  <c r="AG44" i="12" s="1"/>
  <c r="S46" i="12"/>
  <c r="A47" i="12"/>
  <c r="B46" i="12"/>
  <c r="AB45" i="12"/>
  <c r="AF45" i="12" s="1"/>
  <c r="AJ45" i="12"/>
  <c r="AC45" i="12"/>
  <c r="AK45" i="12"/>
  <c r="AA45" i="12"/>
  <c r="T46" i="12"/>
  <c r="U46" i="12" s="1"/>
  <c r="V45" i="12"/>
  <c r="W45" i="12" s="1"/>
  <c r="P47" i="12"/>
  <c r="Q46" i="12"/>
  <c r="R46" i="12"/>
  <c r="AI45" i="12"/>
  <c r="X46" i="12" l="1"/>
  <c r="Y46" i="12"/>
  <c r="V60" i="5"/>
  <c r="Z59" i="5"/>
  <c r="O59" i="5" s="1"/>
  <c r="Q59" i="5" s="1"/>
  <c r="M59" i="5"/>
  <c r="AD45" i="12"/>
  <c r="AG45" i="12" s="1"/>
  <c r="AI46" i="12"/>
  <c r="S47" i="12"/>
  <c r="B47" i="12"/>
  <c r="A48" i="12"/>
  <c r="P48" i="12"/>
  <c r="Q47" i="12"/>
  <c r="R47" i="12"/>
  <c r="T47" i="12"/>
  <c r="AA46" i="12"/>
  <c r="AK46" i="12"/>
  <c r="AJ46" i="12"/>
  <c r="AC46" i="12"/>
  <c r="AB46" i="12"/>
  <c r="AF46" i="12" s="1"/>
  <c r="V46" i="12"/>
  <c r="W46" i="12" s="1"/>
  <c r="X47" i="12" l="1"/>
  <c r="Y47" i="12"/>
  <c r="V61" i="5"/>
  <c r="Z60" i="5"/>
  <c r="O60" i="5" s="1"/>
  <c r="Q60" i="5" s="1"/>
  <c r="M60" i="5"/>
  <c r="AK47" i="12"/>
  <c r="AJ47" i="12"/>
  <c r="AA47" i="12"/>
  <c r="AB47" i="12"/>
  <c r="AF47" i="12" s="1"/>
  <c r="AC47" i="12"/>
  <c r="AD47" i="12" s="1"/>
  <c r="AG47" i="12" s="1"/>
  <c r="P49" i="12"/>
  <c r="Q48" i="12"/>
  <c r="R48" i="12"/>
  <c r="V47" i="12"/>
  <c r="W47" i="12" s="1"/>
  <c r="T48" i="12"/>
  <c r="U48" i="12" s="1"/>
  <c r="U47" i="12"/>
  <c r="AD46" i="12"/>
  <c r="AG46" i="12" s="1"/>
  <c r="A49" i="12"/>
  <c r="S48" i="12"/>
  <c r="B48" i="12"/>
  <c r="AI47" i="12"/>
  <c r="X48" i="12" l="1"/>
  <c r="Y48" i="12"/>
  <c r="V62" i="5"/>
  <c r="Z61" i="5"/>
  <c r="O61" i="5" s="1"/>
  <c r="Q61" i="5" s="1"/>
  <c r="M61" i="5"/>
  <c r="AI48" i="12"/>
  <c r="V48" i="12"/>
  <c r="W48" i="12" s="1"/>
  <c r="B49" i="12"/>
  <c r="A50" i="12"/>
  <c r="S49" i="12"/>
  <c r="AJ48" i="12"/>
  <c r="AK48" i="12"/>
  <c r="AB48" i="12"/>
  <c r="AF48" i="12" s="1"/>
  <c r="AA48" i="12"/>
  <c r="AC48" i="12"/>
  <c r="T49" i="12"/>
  <c r="P50" i="12"/>
  <c r="Q49" i="12"/>
  <c r="R49" i="12"/>
  <c r="X49" i="12" l="1"/>
  <c r="V63" i="5"/>
  <c r="Z62" i="5"/>
  <c r="O62" i="5" s="1"/>
  <c r="Q62" i="5" s="1"/>
  <c r="M62" i="5"/>
  <c r="AD48" i="12"/>
  <c r="AG48" i="12" s="1"/>
  <c r="AI49" i="12"/>
  <c r="AB49" i="12"/>
  <c r="AF49" i="12" s="1"/>
  <c r="AJ49" i="12"/>
  <c r="AC49" i="12"/>
  <c r="AK49" i="12"/>
  <c r="AA49" i="12"/>
  <c r="V49" i="12"/>
  <c r="W49" i="12" s="1"/>
  <c r="Y49" i="12" s="1"/>
  <c r="T50" i="12"/>
  <c r="U49" i="12"/>
  <c r="P51" i="12"/>
  <c r="Q50" i="12"/>
  <c r="R50" i="12"/>
  <c r="A51" i="12"/>
  <c r="S50" i="12"/>
  <c r="B50" i="12"/>
  <c r="X50" i="12" l="1"/>
  <c r="Y50" i="12"/>
  <c r="V64" i="5"/>
  <c r="Z63" i="5"/>
  <c r="O63" i="5" s="1"/>
  <c r="Q63" i="5" s="1"/>
  <c r="M63" i="5"/>
  <c r="AD49" i="12"/>
  <c r="AG49" i="12" s="1"/>
  <c r="V50" i="12"/>
  <c r="W50" i="12" s="1"/>
  <c r="T51" i="12"/>
  <c r="U50" i="12"/>
  <c r="AK50" i="12"/>
  <c r="AJ50" i="12"/>
  <c r="AC50" i="12"/>
  <c r="AB50" i="12"/>
  <c r="AF50" i="12" s="1"/>
  <c r="AA50" i="12"/>
  <c r="A52" i="12"/>
  <c r="S51" i="12"/>
  <c r="B51" i="12"/>
  <c r="Q51" i="12"/>
  <c r="R51" i="12"/>
  <c r="P52" i="12"/>
  <c r="AI50" i="12"/>
  <c r="X51" i="12" l="1"/>
  <c r="V65" i="5"/>
  <c r="Z64" i="5"/>
  <c r="O64" i="5" s="1"/>
  <c r="Q64" i="5" s="1"/>
  <c r="M64" i="5"/>
  <c r="R52" i="12"/>
  <c r="P53" i="12"/>
  <c r="Q52" i="12"/>
  <c r="S52" i="12"/>
  <c r="A53" i="12"/>
  <c r="B52" i="12"/>
  <c r="V51" i="12"/>
  <c r="W51" i="12" s="1"/>
  <c r="Y51" i="12" s="1"/>
  <c r="AD50" i="12"/>
  <c r="AG50" i="12" s="1"/>
  <c r="T52" i="12"/>
  <c r="U51" i="12"/>
  <c r="AJ51" i="12"/>
  <c r="AB51" i="12"/>
  <c r="AF51" i="12" s="1"/>
  <c r="AK51" i="12"/>
  <c r="AC51" i="12"/>
  <c r="AA51" i="12"/>
  <c r="AI51" i="12"/>
  <c r="X52" i="12" l="1"/>
  <c r="Y52" i="12"/>
  <c r="V66" i="5"/>
  <c r="Z65" i="5"/>
  <c r="O65" i="5" s="1"/>
  <c r="Q65" i="5" s="1"/>
  <c r="M65" i="5"/>
  <c r="AB52" i="12"/>
  <c r="AF52" i="12" s="1"/>
  <c r="AC52" i="12"/>
  <c r="AJ52" i="12"/>
  <c r="AA52" i="12"/>
  <c r="AK52" i="12"/>
  <c r="V52" i="12"/>
  <c r="W52" i="12" s="1"/>
  <c r="Q53" i="12"/>
  <c r="P54" i="12"/>
  <c r="R53" i="12"/>
  <c r="AD51" i="12"/>
  <c r="AG51" i="12" s="1"/>
  <c r="T53" i="12"/>
  <c r="U52" i="12"/>
  <c r="AI52" i="12"/>
  <c r="B53" i="12"/>
  <c r="A54" i="12"/>
  <c r="S53" i="12"/>
  <c r="X53" i="12" l="1"/>
  <c r="Y53" i="12"/>
  <c r="V67" i="5"/>
  <c r="Z66" i="5"/>
  <c r="O66" i="5" s="1"/>
  <c r="Q66" i="5" s="1"/>
  <c r="M66" i="5"/>
  <c r="AI53" i="12"/>
  <c r="V53" i="12"/>
  <c r="W53" i="12" s="1"/>
  <c r="T54" i="12"/>
  <c r="U54" i="12" s="1"/>
  <c r="U53" i="12"/>
  <c r="P55" i="12"/>
  <c r="Q54" i="12"/>
  <c r="AI54" i="12" s="1"/>
  <c r="R54" i="12"/>
  <c r="B54" i="12"/>
  <c r="S54" i="12"/>
  <c r="A55" i="12"/>
  <c r="AK53" i="12"/>
  <c r="AA53" i="12"/>
  <c r="AB53" i="12"/>
  <c r="AF53" i="12" s="1"/>
  <c r="AC53" i="12"/>
  <c r="AJ53" i="12"/>
  <c r="AD52" i="12"/>
  <c r="AG52" i="12" s="1"/>
  <c r="X54" i="12" l="1"/>
  <c r="Y54" i="12"/>
  <c r="V68" i="5"/>
  <c r="Z67" i="5"/>
  <c r="O67" i="5" s="1"/>
  <c r="Q67" i="5" s="1"/>
  <c r="M67" i="5"/>
  <c r="AD53" i="12"/>
  <c r="AG53" i="12" s="1"/>
  <c r="V54" i="12"/>
  <c r="W54" i="12" s="1"/>
  <c r="Q55" i="12"/>
  <c r="P56" i="12"/>
  <c r="R55" i="12"/>
  <c r="T55" i="12"/>
  <c r="AJ54" i="12"/>
  <c r="AK54" i="12"/>
  <c r="AB54" i="12"/>
  <c r="AF54" i="12" s="1"/>
  <c r="AA54" i="12"/>
  <c r="AC54" i="12"/>
  <c r="A56" i="12"/>
  <c r="S55" i="12"/>
  <c r="B55" i="12"/>
  <c r="AI55" i="12" l="1"/>
  <c r="X55" i="12"/>
  <c r="Y55" i="12"/>
  <c r="V69" i="5"/>
  <c r="Z68" i="5"/>
  <c r="O68" i="5" s="1"/>
  <c r="Q68" i="5" s="1"/>
  <c r="M68" i="5"/>
  <c r="V55" i="12"/>
  <c r="W55" i="12" s="1"/>
  <c r="AD54" i="12"/>
  <c r="AG54" i="12" s="1"/>
  <c r="AA55" i="12"/>
  <c r="AB55" i="12"/>
  <c r="AF55" i="12" s="1"/>
  <c r="AJ55" i="12"/>
  <c r="AK55" i="12"/>
  <c r="AC55" i="12"/>
  <c r="A57" i="12"/>
  <c r="B56" i="12"/>
  <c r="S56" i="12"/>
  <c r="T56" i="12"/>
  <c r="U55" i="12"/>
  <c r="P57" i="12"/>
  <c r="Q56" i="12"/>
  <c r="R56" i="12"/>
  <c r="AI56" i="12" l="1"/>
  <c r="X56" i="12"/>
  <c r="Y56" i="12"/>
  <c r="V70" i="5"/>
  <c r="Z69" i="5"/>
  <c r="O69" i="5" s="1"/>
  <c r="Q69" i="5" s="1"/>
  <c r="M69" i="5"/>
  <c r="AD55" i="12"/>
  <c r="AG55" i="12" s="1"/>
  <c r="Q57" i="12"/>
  <c r="P58" i="12"/>
  <c r="R57" i="12"/>
  <c r="T57" i="12"/>
  <c r="U56" i="12"/>
  <c r="V56" i="12"/>
  <c r="W56" i="12" s="1"/>
  <c r="AI57" i="12"/>
  <c r="U57" i="12"/>
  <c r="B57" i="12"/>
  <c r="A58" i="12"/>
  <c r="S57" i="12"/>
  <c r="AJ56" i="12"/>
  <c r="AC56" i="12"/>
  <c r="AA56" i="12"/>
  <c r="AB56" i="12"/>
  <c r="AF56" i="12" s="1"/>
  <c r="AK56" i="12"/>
  <c r="X57" i="12" l="1"/>
  <c r="Y57" i="12"/>
  <c r="V71" i="5"/>
  <c r="Z70" i="5"/>
  <c r="O70" i="5" s="1"/>
  <c r="Q70" i="5" s="1"/>
  <c r="M70" i="5"/>
  <c r="V57" i="12"/>
  <c r="W57" i="12" s="1"/>
  <c r="AD56" i="12"/>
  <c r="AG56" i="12" s="1"/>
  <c r="S58" i="12"/>
  <c r="A59" i="12"/>
  <c r="B58" i="12"/>
  <c r="AA57" i="12"/>
  <c r="AB57" i="12"/>
  <c r="AF57" i="12" s="1"/>
  <c r="AK57" i="12"/>
  <c r="AC57" i="12"/>
  <c r="AJ57" i="12"/>
  <c r="P59" i="12"/>
  <c r="Q58" i="12"/>
  <c r="R58" i="12"/>
  <c r="T58" i="12"/>
  <c r="AI58" i="12" l="1"/>
  <c r="X58" i="12"/>
  <c r="Y58" i="12"/>
  <c r="V72" i="5"/>
  <c r="Z71" i="5"/>
  <c r="O71" i="5" s="1"/>
  <c r="Q71" i="5" s="1"/>
  <c r="M71" i="5"/>
  <c r="AD57" i="12"/>
  <c r="AG57" i="12" s="1"/>
  <c r="B59" i="12"/>
  <c r="A60" i="12"/>
  <c r="S59" i="12"/>
  <c r="T59" i="12"/>
  <c r="AJ58" i="12"/>
  <c r="AK58" i="12"/>
  <c r="AA58" i="12"/>
  <c r="AC58" i="12"/>
  <c r="AB58" i="12"/>
  <c r="AF58" i="12" s="1"/>
  <c r="V58" i="12"/>
  <c r="W58" i="12" s="1"/>
  <c r="U58" i="12"/>
  <c r="P60" i="12"/>
  <c r="Q59" i="12"/>
  <c r="R59" i="12"/>
  <c r="X59" i="12" l="1"/>
  <c r="Y59" i="12"/>
  <c r="V73" i="5"/>
  <c r="Z72" i="5"/>
  <c r="O72" i="5" s="1"/>
  <c r="Q72" i="5" s="1"/>
  <c r="M72" i="5"/>
  <c r="AI59" i="12"/>
  <c r="T60" i="12"/>
  <c r="P61" i="12"/>
  <c r="R60" i="12"/>
  <c r="AI60" i="12" s="1"/>
  <c r="Q60" i="12"/>
  <c r="S60" i="12"/>
  <c r="A61" i="12"/>
  <c r="B60" i="12"/>
  <c r="U59" i="12"/>
  <c r="AA59" i="12"/>
  <c r="AB59" i="12"/>
  <c r="AF59" i="12" s="1"/>
  <c r="AC59" i="12"/>
  <c r="AJ59" i="12"/>
  <c r="AK59" i="12"/>
  <c r="V59" i="12"/>
  <c r="W59" i="12" s="1"/>
  <c r="AD58" i="12"/>
  <c r="AG58" i="12" s="1"/>
  <c r="X60" i="12" l="1"/>
  <c r="Y60" i="12"/>
  <c r="V74" i="5"/>
  <c r="Z73" i="5"/>
  <c r="O73" i="5" s="1"/>
  <c r="Q73" i="5" s="1"/>
  <c r="M73" i="5"/>
  <c r="V60" i="12"/>
  <c r="AD59" i="12"/>
  <c r="AG59" i="12" s="1"/>
  <c r="S61" i="12"/>
  <c r="A62" i="12"/>
  <c r="B61" i="12"/>
  <c r="P62" i="12"/>
  <c r="Q61" i="12"/>
  <c r="T61" i="12"/>
  <c r="U61" i="12" s="1"/>
  <c r="R61" i="12"/>
  <c r="AC60" i="12"/>
  <c r="AK60" i="12"/>
  <c r="AJ60" i="12"/>
  <c r="AA60" i="12"/>
  <c r="AB60" i="12"/>
  <c r="AF60" i="12" s="1"/>
  <c r="U60" i="12"/>
  <c r="X61" i="12" l="1"/>
  <c r="Y61" i="12"/>
  <c r="V75" i="5"/>
  <c r="Z74" i="5"/>
  <c r="O74" i="5" s="1"/>
  <c r="Q74" i="5" s="1"/>
  <c r="AK61" i="12"/>
  <c r="AA61" i="12"/>
  <c r="AJ61" i="12"/>
  <c r="AC61" i="12"/>
  <c r="AB61" i="12"/>
  <c r="AF61" i="12" s="1"/>
  <c r="V61" i="12"/>
  <c r="W61" i="12" s="1"/>
  <c r="AI61" i="12"/>
  <c r="AD60" i="12"/>
  <c r="AG60" i="12" s="1"/>
  <c r="Q62" i="12"/>
  <c r="P63" i="12"/>
  <c r="T62" i="12"/>
  <c r="R62" i="12"/>
  <c r="B62" i="12"/>
  <c r="A63" i="12"/>
  <c r="S62" i="12"/>
  <c r="W60" i="12"/>
  <c r="M74" i="5" l="1"/>
  <c r="AI62" i="12"/>
  <c r="X62" i="12"/>
  <c r="Y62" i="12"/>
  <c r="V76" i="5"/>
  <c r="Z75" i="5"/>
  <c r="O75" i="5" s="1"/>
  <c r="Q75" i="5" s="1"/>
  <c r="M75" i="5"/>
  <c r="V62" i="12"/>
  <c r="A64" i="12"/>
  <c r="B63" i="12"/>
  <c r="S63" i="12"/>
  <c r="AB62" i="12"/>
  <c r="AF62" i="12" s="1"/>
  <c r="AA62" i="12"/>
  <c r="AJ62" i="12"/>
  <c r="AC62" i="12"/>
  <c r="AK62" i="12"/>
  <c r="U62" i="12"/>
  <c r="AD61" i="12"/>
  <c r="AG61" i="12" s="1"/>
  <c r="P64" i="12"/>
  <c r="Q63" i="12"/>
  <c r="T63" i="12"/>
  <c r="R63" i="12"/>
  <c r="X63" i="12" l="1"/>
  <c r="Y63" i="12"/>
  <c r="V77" i="5"/>
  <c r="Z76" i="5"/>
  <c r="O76" i="5" s="1"/>
  <c r="Q76" i="5" s="1"/>
  <c r="M76" i="5"/>
  <c r="AD62" i="12"/>
  <c r="AG62" i="12" s="1"/>
  <c r="V63" i="12"/>
  <c r="W62" i="12"/>
  <c r="U63" i="12"/>
  <c r="A65" i="12"/>
  <c r="B64" i="12"/>
  <c r="S64" i="12"/>
  <c r="Q64" i="12"/>
  <c r="P65" i="12"/>
  <c r="T64" i="12"/>
  <c r="R64" i="12"/>
  <c r="AI63" i="12"/>
  <c r="AK63" i="12"/>
  <c r="AJ63" i="12"/>
  <c r="AC63" i="12"/>
  <c r="AB63" i="12"/>
  <c r="AF63" i="12" s="1"/>
  <c r="AA63" i="12"/>
  <c r="X64" i="12" l="1"/>
  <c r="Y64" i="12"/>
  <c r="V78" i="5"/>
  <c r="Z77" i="5"/>
  <c r="O77" i="5" s="1"/>
  <c r="Q77" i="5" s="1"/>
  <c r="M77" i="5"/>
  <c r="V64" i="12"/>
  <c r="AD63" i="12"/>
  <c r="AG63" i="12" s="1"/>
  <c r="W63" i="12"/>
  <c r="U64" i="12"/>
  <c r="S65" i="12"/>
  <c r="A66" i="12"/>
  <c r="B65" i="12"/>
  <c r="AI64" i="12"/>
  <c r="P66" i="12"/>
  <c r="Q65" i="12"/>
  <c r="T65" i="12"/>
  <c r="R65" i="12"/>
  <c r="AB64" i="12"/>
  <c r="AF64" i="12" s="1"/>
  <c r="AJ64" i="12"/>
  <c r="AC64" i="12"/>
  <c r="AA64" i="12"/>
  <c r="AK64" i="12"/>
  <c r="AD64" i="12" l="1"/>
  <c r="AG64" i="12" s="1"/>
  <c r="AI65" i="12"/>
  <c r="X65" i="12"/>
  <c r="Y65" i="12"/>
  <c r="V79" i="5"/>
  <c r="Z78" i="5"/>
  <c r="O78" i="5" s="1"/>
  <c r="Q78" i="5" s="1"/>
  <c r="M78" i="5"/>
  <c r="W64" i="12"/>
  <c r="V65" i="12"/>
  <c r="P67" i="12"/>
  <c r="T66" i="12"/>
  <c r="Q66" i="12"/>
  <c r="R66" i="12"/>
  <c r="AI66" i="12" s="1"/>
  <c r="U65" i="12"/>
  <c r="S66" i="12"/>
  <c r="A67" i="12"/>
  <c r="B66" i="12"/>
  <c r="AK65" i="12"/>
  <c r="AJ65" i="12"/>
  <c r="AC65" i="12"/>
  <c r="AB65" i="12"/>
  <c r="AF65" i="12" s="1"/>
  <c r="AA65" i="12"/>
  <c r="X66" i="12" l="1"/>
  <c r="Y66" i="12"/>
  <c r="V80" i="5"/>
  <c r="Z79" i="5"/>
  <c r="O79" i="5" s="1"/>
  <c r="Q79" i="5" s="1"/>
  <c r="M79" i="5"/>
  <c r="W65" i="12"/>
  <c r="AD65" i="12"/>
  <c r="AG65" i="12" s="1"/>
  <c r="S67" i="12"/>
  <c r="A68" i="12"/>
  <c r="B67" i="12"/>
  <c r="U66" i="12"/>
  <c r="AB66" i="12"/>
  <c r="AF66" i="12" s="1"/>
  <c r="AJ66" i="12"/>
  <c r="AC66" i="12"/>
  <c r="AA66" i="12"/>
  <c r="AK66" i="12"/>
  <c r="T67" i="12"/>
  <c r="P68" i="12"/>
  <c r="Q67" i="12"/>
  <c r="R67" i="12"/>
  <c r="V66" i="12"/>
  <c r="W66" i="12" s="1"/>
  <c r="X67" i="12" l="1"/>
  <c r="Y67" i="12"/>
  <c r="V81" i="5"/>
  <c r="Z80" i="5"/>
  <c r="O80" i="5" s="1"/>
  <c r="Q80" i="5" s="1"/>
  <c r="M80" i="5"/>
  <c r="P69" i="12"/>
  <c r="Q68" i="12"/>
  <c r="T68" i="12"/>
  <c r="R68" i="12"/>
  <c r="AI68" i="12" s="1"/>
  <c r="AD66" i="12"/>
  <c r="AG66" i="12" s="1"/>
  <c r="S68" i="12"/>
  <c r="B68" i="12"/>
  <c r="A69" i="12"/>
  <c r="AK67" i="12"/>
  <c r="AB67" i="12"/>
  <c r="AF67" i="12" s="1"/>
  <c r="AA67" i="12"/>
  <c r="AC67" i="12"/>
  <c r="AJ67" i="12"/>
  <c r="U67" i="12"/>
  <c r="V67" i="12"/>
  <c r="AI67" i="12"/>
  <c r="X68" i="12" l="1"/>
  <c r="Y68" i="12"/>
  <c r="V82" i="5"/>
  <c r="Z81" i="5"/>
  <c r="O81" i="5" s="1"/>
  <c r="Q81" i="5" s="1"/>
  <c r="M81" i="5"/>
  <c r="AD67" i="12"/>
  <c r="AG67" i="12" s="1"/>
  <c r="W67" i="12"/>
  <c r="S69" i="12"/>
  <c r="A70" i="12"/>
  <c r="B69" i="12"/>
  <c r="U68" i="12"/>
  <c r="AB68" i="12"/>
  <c r="AF68" i="12" s="1"/>
  <c r="AA68" i="12"/>
  <c r="AC68" i="12"/>
  <c r="AK68" i="12"/>
  <c r="AJ68" i="12"/>
  <c r="V68" i="12"/>
  <c r="W68" i="12" s="1"/>
  <c r="P70" i="12"/>
  <c r="Q69" i="12"/>
  <c r="T69" i="12"/>
  <c r="R69" i="12"/>
  <c r="X69" i="12" l="1"/>
  <c r="Y69" i="12"/>
  <c r="V83" i="5"/>
  <c r="Z82" i="5"/>
  <c r="O82" i="5" s="1"/>
  <c r="Q82" i="5" s="1"/>
  <c r="M82" i="5"/>
  <c r="AD68" i="12"/>
  <c r="AG68" i="12" s="1"/>
  <c r="V69" i="12"/>
  <c r="W69" i="12" s="1"/>
  <c r="P71" i="12"/>
  <c r="Q70" i="12"/>
  <c r="T70" i="12"/>
  <c r="U70" i="12" s="1"/>
  <c r="R70" i="12"/>
  <c r="U69" i="12"/>
  <c r="AI69" i="12"/>
  <c r="B70" i="12"/>
  <c r="A71" i="12"/>
  <c r="S70" i="12"/>
  <c r="AJ69" i="12"/>
  <c r="AB69" i="12"/>
  <c r="AF69" i="12" s="1"/>
  <c r="AK69" i="12"/>
  <c r="AA69" i="12"/>
  <c r="AC69" i="12"/>
  <c r="AD69" i="12" s="1"/>
  <c r="AG69" i="12" s="1"/>
  <c r="X70" i="12" l="1"/>
  <c r="Y70" i="12"/>
  <c r="V70" i="12"/>
  <c r="W70" i="12" s="1"/>
  <c r="V84" i="5"/>
  <c r="Z83" i="5"/>
  <c r="O83" i="5" s="1"/>
  <c r="Q83" i="5" s="1"/>
  <c r="M83" i="5"/>
  <c r="AI70" i="12"/>
  <c r="T71" i="12"/>
  <c r="P72" i="12"/>
  <c r="Q71" i="12"/>
  <c r="AI71" i="12" s="1"/>
  <c r="R71" i="12"/>
  <c r="S71" i="12"/>
  <c r="A72" i="12"/>
  <c r="B71" i="12"/>
  <c r="AA70" i="12"/>
  <c r="AB70" i="12"/>
  <c r="AF70" i="12" s="1"/>
  <c r="AJ70" i="12"/>
  <c r="AK70" i="12"/>
  <c r="AC70" i="12"/>
  <c r="X71" i="12" l="1"/>
  <c r="Y71" i="12"/>
  <c r="V71" i="12"/>
  <c r="V85" i="5"/>
  <c r="Z84" i="5"/>
  <c r="O84" i="5" s="1"/>
  <c r="Q84" i="5" s="1"/>
  <c r="M84" i="5"/>
  <c r="AD70" i="12"/>
  <c r="AG70" i="12" s="1"/>
  <c r="A73" i="12"/>
  <c r="S72" i="12"/>
  <c r="B72" i="12"/>
  <c r="AJ71" i="12"/>
  <c r="AA71" i="12"/>
  <c r="AB71" i="12"/>
  <c r="AF71" i="12" s="1"/>
  <c r="AK71" i="12"/>
  <c r="AC71" i="12"/>
  <c r="AD71" i="12" s="1"/>
  <c r="AG71" i="12" s="1"/>
  <c r="P73" i="12"/>
  <c r="Q72" i="12"/>
  <c r="T72" i="12"/>
  <c r="U72" i="12" s="1"/>
  <c r="R72" i="12"/>
  <c r="U71" i="12"/>
  <c r="X72" i="12" l="1"/>
  <c r="Y72" i="12"/>
  <c r="W71" i="12"/>
  <c r="V86" i="5"/>
  <c r="Z85" i="5"/>
  <c r="O85" i="5" s="1"/>
  <c r="Q85" i="5" s="1"/>
  <c r="M85" i="5"/>
  <c r="V72" i="12"/>
  <c r="W72" i="12" s="1"/>
  <c r="P74" i="12"/>
  <c r="Q73" i="12"/>
  <c r="T73" i="12"/>
  <c r="R73" i="12"/>
  <c r="AI72" i="12"/>
  <c r="AA72" i="12"/>
  <c r="AB72" i="12"/>
  <c r="AF72" i="12" s="1"/>
  <c r="AC72" i="12"/>
  <c r="AJ72" i="12"/>
  <c r="AK72" i="12"/>
  <c r="A74" i="12"/>
  <c r="S73" i="12"/>
  <c r="B73" i="12"/>
  <c r="AD72" i="12" l="1"/>
  <c r="AG72" i="12" s="1"/>
  <c r="X73" i="12"/>
  <c r="Y73" i="12"/>
  <c r="V73" i="12"/>
  <c r="V87" i="5"/>
  <c r="Z86" i="5"/>
  <c r="O86" i="5" s="1"/>
  <c r="Q86" i="5" s="1"/>
  <c r="M86" i="5"/>
  <c r="AI73" i="12"/>
  <c r="AJ73" i="12"/>
  <c r="AA73" i="12"/>
  <c r="AK73" i="12"/>
  <c r="AC73" i="12"/>
  <c r="AB73" i="12"/>
  <c r="AF73" i="12" s="1"/>
  <c r="A75" i="12"/>
  <c r="S74" i="12"/>
  <c r="B74" i="12"/>
  <c r="U73" i="12"/>
  <c r="T74" i="12"/>
  <c r="P75" i="12"/>
  <c r="Q74" i="12"/>
  <c r="R74" i="12"/>
  <c r="X74" i="12" l="1"/>
  <c r="Y74" i="12"/>
  <c r="W73" i="12"/>
  <c r="V88" i="5"/>
  <c r="Z87" i="5"/>
  <c r="O87" i="5" s="1"/>
  <c r="Q87" i="5" s="1"/>
  <c r="M87" i="5"/>
  <c r="AD73" i="12"/>
  <c r="AG73" i="12" s="1"/>
  <c r="U74" i="12"/>
  <c r="AA74" i="12"/>
  <c r="AB74" i="12"/>
  <c r="AF74" i="12" s="1"/>
  <c r="AK74" i="12"/>
  <c r="AC74" i="12"/>
  <c r="AJ74" i="12"/>
  <c r="P76" i="12"/>
  <c r="Q75" i="12"/>
  <c r="T75" i="12"/>
  <c r="R75" i="12"/>
  <c r="AI74" i="12"/>
  <c r="V74" i="12"/>
  <c r="A76" i="12"/>
  <c r="B75" i="12"/>
  <c r="S75" i="12"/>
  <c r="AI75" i="12" l="1"/>
  <c r="X75" i="12"/>
  <c r="Y75" i="12"/>
  <c r="V89" i="5"/>
  <c r="Z88" i="5"/>
  <c r="O88" i="5" s="1"/>
  <c r="Q88" i="5" s="1"/>
  <c r="M88" i="5"/>
  <c r="AJ75" i="12"/>
  <c r="AB75" i="12"/>
  <c r="AF75" i="12" s="1"/>
  <c r="AC75" i="12"/>
  <c r="AK75" i="12"/>
  <c r="AA75" i="12"/>
  <c r="Q76" i="12"/>
  <c r="T76" i="12"/>
  <c r="U76" i="12" s="1"/>
  <c r="P77" i="12"/>
  <c r="R76" i="12"/>
  <c r="AD74" i="12"/>
  <c r="AG74" i="12" s="1"/>
  <c r="V75" i="12"/>
  <c r="W74" i="12"/>
  <c r="A77" i="12"/>
  <c r="S76" i="12"/>
  <c r="B76" i="12"/>
  <c r="U75" i="12"/>
  <c r="X76" i="12" l="1"/>
  <c r="Y76" i="12"/>
  <c r="V90" i="5"/>
  <c r="V91" i="5" s="1"/>
  <c r="Z89" i="5"/>
  <c r="O89" i="5" s="1"/>
  <c r="Q89" i="5" s="1"/>
  <c r="M89" i="5"/>
  <c r="AI76" i="12"/>
  <c r="AD75" i="12"/>
  <c r="AG75" i="12" s="1"/>
  <c r="V76" i="12"/>
  <c r="W75" i="12"/>
  <c r="Q77" i="12"/>
  <c r="P78" i="12"/>
  <c r="T77" i="12"/>
  <c r="R77" i="12"/>
  <c r="S77" i="12"/>
  <c r="B77" i="12"/>
  <c r="A78" i="12"/>
  <c r="AK76" i="12"/>
  <c r="AB76" i="12"/>
  <c r="AF76" i="12" s="1"/>
  <c r="AC76" i="12"/>
  <c r="AJ76" i="12"/>
  <c r="AA76" i="12"/>
  <c r="X77" i="12" l="1"/>
  <c r="Y77" i="12"/>
  <c r="V92" i="5"/>
  <c r="Z90" i="5"/>
  <c r="O90" i="5" s="1"/>
  <c r="Q90" i="5" s="1"/>
  <c r="M90" i="5"/>
  <c r="Z91" i="5"/>
  <c r="O91" i="5" s="1"/>
  <c r="AI77" i="12"/>
  <c r="AD76" i="12"/>
  <c r="AG76" i="12" s="1"/>
  <c r="S78" i="12"/>
  <c r="A79" i="12"/>
  <c r="B78" i="12"/>
  <c r="AB77" i="12"/>
  <c r="AF77" i="12" s="1"/>
  <c r="AA77" i="12"/>
  <c r="AJ77" i="12"/>
  <c r="AC77" i="12"/>
  <c r="AK77" i="12"/>
  <c r="U77" i="12"/>
  <c r="V77" i="12"/>
  <c r="W76" i="12"/>
  <c r="P79" i="12"/>
  <c r="Q78" i="12"/>
  <c r="T78" i="12"/>
  <c r="U78" i="12" s="1"/>
  <c r="R78" i="12"/>
  <c r="X78" i="12" l="1"/>
  <c r="Y78" i="12"/>
  <c r="M91" i="5"/>
  <c r="V93" i="5"/>
  <c r="Z92" i="5"/>
  <c r="O92" i="5" s="1"/>
  <c r="Q91" i="5"/>
  <c r="AI78" i="12"/>
  <c r="W77" i="12"/>
  <c r="V78" i="12"/>
  <c r="B79" i="12"/>
  <c r="A80" i="12"/>
  <c r="S79" i="12"/>
  <c r="Q79" i="12"/>
  <c r="P80" i="12"/>
  <c r="T79" i="12"/>
  <c r="R79" i="12"/>
  <c r="AD77" i="12"/>
  <c r="AG77" i="12" s="1"/>
  <c r="AK78" i="12"/>
  <c r="AA78" i="12"/>
  <c r="AJ78" i="12"/>
  <c r="AC78" i="12"/>
  <c r="AB78" i="12"/>
  <c r="AF78" i="12" s="1"/>
  <c r="X79" i="12" l="1"/>
  <c r="Y79" i="12"/>
  <c r="M92" i="5"/>
  <c r="V94" i="5"/>
  <c r="Z93" i="5"/>
  <c r="O93" i="5" s="1"/>
  <c r="M93" i="5"/>
  <c r="Q92" i="5"/>
  <c r="AB79" i="12"/>
  <c r="AF79" i="12" s="1"/>
  <c r="AJ79" i="12"/>
  <c r="AC79" i="12"/>
  <c r="AA79" i="12"/>
  <c r="AK79" i="12"/>
  <c r="V79" i="12"/>
  <c r="W78" i="12"/>
  <c r="U79" i="12"/>
  <c r="P81" i="12"/>
  <c r="Q80" i="12"/>
  <c r="T80" i="12"/>
  <c r="R80" i="12"/>
  <c r="AD78" i="12"/>
  <c r="AG78" i="12" s="1"/>
  <c r="A81" i="12"/>
  <c r="B80" i="12"/>
  <c r="S80" i="12"/>
  <c r="AI79" i="12"/>
  <c r="AD79" i="12" l="1"/>
  <c r="AG79" i="12" s="1"/>
  <c r="X80" i="12"/>
  <c r="Y80" i="12"/>
  <c r="Q93" i="5"/>
  <c r="V95" i="5"/>
  <c r="M94" i="5"/>
  <c r="Z94" i="5"/>
  <c r="O94" i="5" s="1"/>
  <c r="AI80" i="12"/>
  <c r="AK80" i="12"/>
  <c r="AJ80" i="12"/>
  <c r="AC80" i="12"/>
  <c r="AB80" i="12"/>
  <c r="AF80" i="12" s="1"/>
  <c r="AA80" i="12"/>
  <c r="Q81" i="12"/>
  <c r="P82" i="12"/>
  <c r="T81" i="12"/>
  <c r="R81" i="12"/>
  <c r="A82" i="12"/>
  <c r="S81" i="12"/>
  <c r="B81" i="12"/>
  <c r="U80" i="12"/>
  <c r="V80" i="12"/>
  <c r="W79" i="12"/>
  <c r="AD80" i="12" l="1"/>
  <c r="AG80" i="12" s="1"/>
  <c r="X81" i="12"/>
  <c r="Y81" i="12"/>
  <c r="Q94" i="5"/>
  <c r="Z95" i="5"/>
  <c r="O95" i="5" s="1"/>
  <c r="M95" i="5"/>
  <c r="V96" i="5"/>
  <c r="S82" i="12"/>
  <c r="A83" i="12"/>
  <c r="B82" i="12"/>
  <c r="AB81" i="12"/>
  <c r="AF81" i="12" s="1"/>
  <c r="AJ81" i="12"/>
  <c r="AC81" i="12"/>
  <c r="AA81" i="12"/>
  <c r="AK81" i="12"/>
  <c r="AI81" i="12"/>
  <c r="V81" i="12"/>
  <c r="W80" i="12"/>
  <c r="P83" i="12"/>
  <c r="Q82" i="12"/>
  <c r="AI82" i="12" s="1"/>
  <c r="T82" i="12"/>
  <c r="U82" i="12" s="1"/>
  <c r="R82" i="12"/>
  <c r="U81" i="12"/>
  <c r="X82" i="12" l="1"/>
  <c r="Y82" i="12"/>
  <c r="Q95" i="5"/>
  <c r="V97" i="5"/>
  <c r="Z96" i="5"/>
  <c r="O96" i="5" s="1"/>
  <c r="M96" i="5"/>
  <c r="AK82" i="12"/>
  <c r="AJ82" i="12"/>
  <c r="AC82" i="12"/>
  <c r="AB82" i="12"/>
  <c r="AF82" i="12" s="1"/>
  <c r="AA82" i="12"/>
  <c r="P84" i="12"/>
  <c r="T83" i="12"/>
  <c r="Q83" i="12"/>
  <c r="R83" i="12"/>
  <c r="AI83" i="12" s="1"/>
  <c r="W81" i="12"/>
  <c r="V82" i="12"/>
  <c r="U83" i="12"/>
  <c r="AD81" i="12"/>
  <c r="AG81" i="12" s="1"/>
  <c r="S83" i="12"/>
  <c r="B83" i="12"/>
  <c r="A84" i="12"/>
  <c r="X83" i="12" l="1"/>
  <c r="Y83" i="12"/>
  <c r="Q96" i="5"/>
  <c r="Z97" i="5"/>
  <c r="O97" i="5" s="1"/>
  <c r="V98" i="5"/>
  <c r="M97" i="5"/>
  <c r="AB83" i="12"/>
  <c r="AJ83" i="12"/>
  <c r="AC83" i="12"/>
  <c r="AA83" i="12"/>
  <c r="AK83" i="12"/>
  <c r="S84" i="12"/>
  <c r="A85" i="12"/>
  <c r="B84" i="12"/>
  <c r="V83" i="12"/>
  <c r="W82" i="12"/>
  <c r="T84" i="12"/>
  <c r="U84" i="12" s="1"/>
  <c r="R84" i="12"/>
  <c r="P85" i="12"/>
  <c r="Q84" i="12"/>
  <c r="AD82" i="12"/>
  <c r="AG82" i="12" s="1"/>
  <c r="X84" i="12" l="1"/>
  <c r="Y84" i="12"/>
  <c r="Q97" i="5"/>
  <c r="Z98" i="5"/>
  <c r="O98" i="5" s="1"/>
  <c r="V99" i="5"/>
  <c r="M98" i="5"/>
  <c r="AI84" i="12"/>
  <c r="AJ84" i="12"/>
  <c r="AB84" i="12"/>
  <c r="AF84" i="12" s="1"/>
  <c r="AA84" i="12"/>
  <c r="AK84" i="12"/>
  <c r="AC84" i="12"/>
  <c r="AD84" i="12" s="1"/>
  <c r="AG84" i="12" s="1"/>
  <c r="A86" i="12"/>
  <c r="S85" i="12"/>
  <c r="B85" i="12"/>
  <c r="P86" i="12"/>
  <c r="Q85" i="12"/>
  <c r="T85" i="12"/>
  <c r="R85" i="12"/>
  <c r="W83" i="12"/>
  <c r="V84" i="12"/>
  <c r="AD83" i="12"/>
  <c r="AG83" i="12" s="1"/>
  <c r="AF83" i="12"/>
  <c r="X85" i="12" l="1"/>
  <c r="Y85" i="12"/>
  <c r="Q98" i="5"/>
  <c r="Z99" i="5"/>
  <c r="O99" i="5" s="1"/>
  <c r="M99" i="5"/>
  <c r="V100" i="5"/>
  <c r="V85" i="12"/>
  <c r="W84" i="12"/>
  <c r="P87" i="12"/>
  <c r="Q86" i="12"/>
  <c r="AI86" i="12" s="1"/>
  <c r="T86" i="12"/>
  <c r="R86" i="12"/>
  <c r="S86" i="12"/>
  <c r="A87" i="12"/>
  <c r="B86" i="12"/>
  <c r="U85" i="12"/>
  <c r="AA85" i="12"/>
  <c r="AB85" i="12"/>
  <c r="AF85" i="12" s="1"/>
  <c r="AK85" i="12"/>
  <c r="AC85" i="12"/>
  <c r="AJ85" i="12"/>
  <c r="AI85" i="12"/>
  <c r="X86" i="12" l="1"/>
  <c r="Y86" i="12"/>
  <c r="Q99" i="5"/>
  <c r="M100" i="5"/>
  <c r="V101" i="5"/>
  <c r="Z100" i="5"/>
  <c r="O100" i="5" s="1"/>
  <c r="AJ86" i="12"/>
  <c r="AK86" i="12"/>
  <c r="AB86" i="12"/>
  <c r="AF86" i="12" s="1"/>
  <c r="AA86" i="12"/>
  <c r="AC86" i="12"/>
  <c r="AD85" i="12"/>
  <c r="AG85" i="12" s="1"/>
  <c r="A88" i="12"/>
  <c r="S87" i="12"/>
  <c r="B87" i="12"/>
  <c r="W85" i="12"/>
  <c r="V86" i="12"/>
  <c r="T87" i="12"/>
  <c r="P88" i="12"/>
  <c r="Q87" i="12"/>
  <c r="R87" i="12"/>
  <c r="U86" i="12"/>
  <c r="X87" i="12" l="1"/>
  <c r="Y87" i="12"/>
  <c r="Q100" i="5"/>
  <c r="M101" i="5"/>
  <c r="V102" i="5"/>
  <c r="Z101" i="5"/>
  <c r="O101" i="5" s="1"/>
  <c r="AI87" i="12"/>
  <c r="AD86" i="12"/>
  <c r="AG86" i="12" s="1"/>
  <c r="U87" i="12"/>
  <c r="A89" i="12"/>
  <c r="B88" i="12"/>
  <c r="S88" i="12"/>
  <c r="AA87" i="12"/>
  <c r="AB87" i="12"/>
  <c r="AF87" i="12" s="1"/>
  <c r="AC87" i="12"/>
  <c r="AJ87" i="12"/>
  <c r="AK87" i="12"/>
  <c r="P89" i="12"/>
  <c r="Q88" i="12"/>
  <c r="T88" i="12"/>
  <c r="R88" i="12"/>
  <c r="V87" i="12"/>
  <c r="W86" i="12"/>
  <c r="X88" i="12" l="1"/>
  <c r="Y88" i="12"/>
  <c r="Q101" i="5"/>
  <c r="V103" i="5"/>
  <c r="M102" i="5"/>
  <c r="Z102" i="5"/>
  <c r="O102" i="5" s="1"/>
  <c r="AD87" i="12"/>
  <c r="AG87" i="12" s="1"/>
  <c r="U88" i="12"/>
  <c r="AJ88" i="12"/>
  <c r="AB88" i="12"/>
  <c r="AF88" i="12" s="1"/>
  <c r="AC88" i="12"/>
  <c r="AK88" i="12"/>
  <c r="AA88" i="12"/>
  <c r="AI88" i="12"/>
  <c r="A90" i="12"/>
  <c r="S89" i="12"/>
  <c r="B89" i="12"/>
  <c r="V88" i="12"/>
  <c r="W87" i="12"/>
  <c r="Q89" i="12"/>
  <c r="T89" i="12"/>
  <c r="P90" i="12"/>
  <c r="R89" i="12"/>
  <c r="X89" i="12" l="1"/>
  <c r="Y89" i="12"/>
  <c r="Q102" i="5"/>
  <c r="M103" i="5"/>
  <c r="V104" i="5"/>
  <c r="Z103" i="5"/>
  <c r="O103" i="5" s="1"/>
  <c r="AD88" i="12"/>
  <c r="AG88" i="12" s="1"/>
  <c r="P91" i="12"/>
  <c r="Q90" i="12"/>
  <c r="T90" i="12"/>
  <c r="U90" i="12" s="1"/>
  <c r="R90" i="12"/>
  <c r="AI90" i="12" s="1"/>
  <c r="V89" i="12"/>
  <c r="W88" i="12"/>
  <c r="S90" i="12"/>
  <c r="A91" i="12"/>
  <c r="B90" i="12"/>
  <c r="AA89" i="12"/>
  <c r="AB89" i="12"/>
  <c r="AF89" i="12" s="1"/>
  <c r="AJ89" i="12"/>
  <c r="AK89" i="12"/>
  <c r="AC89" i="12"/>
  <c r="AI89" i="12"/>
  <c r="U89" i="12"/>
  <c r="AD89" i="12" l="1"/>
  <c r="AG89" i="12" s="1"/>
  <c r="X90" i="12"/>
  <c r="Y90" i="12"/>
  <c r="Q103" i="5"/>
  <c r="Z104" i="5"/>
  <c r="O104" i="5" s="1"/>
  <c r="M104" i="5"/>
  <c r="V105" i="5"/>
  <c r="AJ90" i="12"/>
  <c r="AA90" i="12"/>
  <c r="AC90" i="12"/>
  <c r="AK90" i="12"/>
  <c r="AB90" i="12"/>
  <c r="AF90" i="12" s="1"/>
  <c r="V90" i="12"/>
  <c r="W89" i="12"/>
  <c r="P92" i="12"/>
  <c r="Q91" i="12"/>
  <c r="T91" i="12"/>
  <c r="R91" i="12"/>
  <c r="B91" i="12"/>
  <c r="A92" i="12"/>
  <c r="S91" i="12"/>
  <c r="AI91" i="12" l="1"/>
  <c r="X91" i="12"/>
  <c r="Y91" i="12"/>
  <c r="Q104" i="5"/>
  <c r="M105" i="5"/>
  <c r="Z105" i="5"/>
  <c r="O105" i="5" s="1"/>
  <c r="Q105" i="5" s="1"/>
  <c r="V106" i="5"/>
  <c r="U91" i="12"/>
  <c r="V91" i="12"/>
  <c r="W90" i="12"/>
  <c r="AD90" i="12"/>
  <c r="AG90" i="12" s="1"/>
  <c r="T92" i="12"/>
  <c r="R92" i="12"/>
  <c r="P93" i="12"/>
  <c r="Q92" i="12"/>
  <c r="S92" i="12"/>
  <c r="A93" i="12"/>
  <c r="B92" i="12"/>
  <c r="AA91" i="12"/>
  <c r="AB91" i="12"/>
  <c r="AF91" i="12" s="1"/>
  <c r="AK91" i="12"/>
  <c r="AC91" i="12"/>
  <c r="AJ91" i="12"/>
  <c r="X92" i="12" l="1"/>
  <c r="Y92" i="12"/>
  <c r="V107" i="5"/>
  <c r="Z106" i="5"/>
  <c r="O106" i="5" s="1"/>
  <c r="Q106" i="5" s="1"/>
  <c r="M106" i="5"/>
  <c r="AI92" i="12"/>
  <c r="AD91" i="12"/>
  <c r="AG91" i="12" s="1"/>
  <c r="S93" i="12"/>
  <c r="A94" i="12"/>
  <c r="B93" i="12"/>
  <c r="V92" i="12"/>
  <c r="W91" i="12"/>
  <c r="AC92" i="12"/>
  <c r="AJ92" i="12"/>
  <c r="AA92" i="12"/>
  <c r="AK92" i="12"/>
  <c r="AB92" i="12"/>
  <c r="AF92" i="12" s="1"/>
  <c r="U92" i="12"/>
  <c r="P94" i="12"/>
  <c r="Q93" i="12"/>
  <c r="T93" i="12"/>
  <c r="U93" i="12" s="1"/>
  <c r="R93" i="12"/>
  <c r="X93" i="12" l="1"/>
  <c r="Y93" i="12"/>
  <c r="M107" i="5"/>
  <c r="V108" i="5"/>
  <c r="Z107" i="5"/>
  <c r="O107" i="5" s="1"/>
  <c r="Q107" i="5" s="1"/>
  <c r="AK93" i="12"/>
  <c r="AA93" i="12"/>
  <c r="AJ93" i="12"/>
  <c r="AC93" i="12"/>
  <c r="AB93" i="12"/>
  <c r="AF93" i="12" s="1"/>
  <c r="Q94" i="12"/>
  <c r="P95" i="12"/>
  <c r="T94" i="12"/>
  <c r="R94" i="12"/>
  <c r="AI93" i="12"/>
  <c r="B94" i="12"/>
  <c r="A95" i="12"/>
  <c r="S94" i="12"/>
  <c r="AD92" i="12"/>
  <c r="AG92" i="12" s="1"/>
  <c r="V93" i="12"/>
  <c r="W92" i="12"/>
  <c r="X94" i="12" l="1"/>
  <c r="Y94" i="12"/>
  <c r="Z108" i="5"/>
  <c r="O108" i="5" s="1"/>
  <c r="Q108" i="5" s="1"/>
  <c r="M108" i="5"/>
  <c r="V109" i="5"/>
  <c r="AB94" i="12"/>
  <c r="AF94" i="12" s="1"/>
  <c r="AJ94" i="12"/>
  <c r="AC94" i="12"/>
  <c r="AD94" i="12" s="1"/>
  <c r="AG94" i="12" s="1"/>
  <c r="AA94" i="12"/>
  <c r="AK94" i="12"/>
  <c r="AD93" i="12"/>
  <c r="AG93" i="12" s="1"/>
  <c r="U94" i="12"/>
  <c r="V94" i="12"/>
  <c r="W93" i="12"/>
  <c r="A96" i="12"/>
  <c r="B95" i="12"/>
  <c r="S95" i="12"/>
  <c r="P96" i="12"/>
  <c r="Q95" i="12"/>
  <c r="T95" i="12"/>
  <c r="U95" i="12" s="1"/>
  <c r="R95" i="12"/>
  <c r="AI94" i="12"/>
  <c r="X95" i="12" l="1"/>
  <c r="Y95" i="12"/>
  <c r="Z109" i="5"/>
  <c r="O109" i="5" s="1"/>
  <c r="Q109" i="5" s="1"/>
  <c r="Z110" i="5"/>
  <c r="O110" i="5" s="1"/>
  <c r="M109" i="5"/>
  <c r="AK95" i="12"/>
  <c r="AJ95" i="12"/>
  <c r="AC95" i="12"/>
  <c r="AB95" i="12"/>
  <c r="AF95" i="12" s="1"/>
  <c r="AA95" i="12"/>
  <c r="V95" i="12"/>
  <c r="W94" i="12"/>
  <c r="Q96" i="12"/>
  <c r="P97" i="12"/>
  <c r="T96" i="12"/>
  <c r="U96" i="12" s="1"/>
  <c r="R96" i="12"/>
  <c r="A97" i="12"/>
  <c r="S96" i="12"/>
  <c r="B96" i="12"/>
  <c r="AI95" i="12"/>
  <c r="X96" i="12" l="1"/>
  <c r="Y96" i="12"/>
  <c r="Q110" i="5"/>
  <c r="Q111" i="5" s="1"/>
  <c r="Q112" i="5" s="1"/>
  <c r="Q113" i="5" s="1"/>
  <c r="Q114" i="5" s="1"/>
  <c r="Q115" i="5" s="1"/>
  <c r="AD95" i="12"/>
  <c r="AG95" i="12" s="1"/>
  <c r="S97" i="12"/>
  <c r="A98" i="12"/>
  <c r="B97" i="12"/>
  <c r="AB96" i="12"/>
  <c r="AF96" i="12" s="1"/>
  <c r="AJ96" i="12"/>
  <c r="AC96" i="12"/>
  <c r="AA96" i="12"/>
  <c r="AK96" i="12"/>
  <c r="P98" i="12"/>
  <c r="Q97" i="12"/>
  <c r="T97" i="12"/>
  <c r="R97" i="12"/>
  <c r="V96" i="12"/>
  <c r="W95" i="12"/>
  <c r="AI96" i="12"/>
  <c r="X97" i="12" l="1"/>
  <c r="Y97" i="12"/>
  <c r="U97" i="12"/>
  <c r="W96" i="12"/>
  <c r="V97" i="12"/>
  <c r="P99" i="12"/>
  <c r="T98" i="12"/>
  <c r="R98" i="12"/>
  <c r="Q98" i="12"/>
  <c r="AI98" i="12" s="1"/>
  <c r="AD96" i="12"/>
  <c r="AG96" i="12" s="1"/>
  <c r="S98" i="12"/>
  <c r="B98" i="12"/>
  <c r="A99" i="12"/>
  <c r="AK97" i="12"/>
  <c r="AJ97" i="12"/>
  <c r="AC97" i="12"/>
  <c r="AB97" i="12"/>
  <c r="AF97" i="12" s="1"/>
  <c r="AA97" i="12"/>
  <c r="AI97" i="12"/>
  <c r="X98" i="12" l="1"/>
  <c r="Y98" i="12"/>
  <c r="AD97" i="12"/>
  <c r="AG97" i="12" s="1"/>
  <c r="S99" i="12"/>
  <c r="A100" i="12"/>
  <c r="B99" i="12"/>
  <c r="U98" i="12"/>
  <c r="AB98" i="12"/>
  <c r="AF98" i="12" s="1"/>
  <c r="AJ98" i="12"/>
  <c r="AC98" i="12"/>
  <c r="AA98" i="12"/>
  <c r="AK98" i="12"/>
  <c r="T99" i="12"/>
  <c r="R99" i="12"/>
  <c r="P100" i="12"/>
  <c r="Q99" i="12"/>
  <c r="V98" i="12"/>
  <c r="W97" i="12"/>
  <c r="X99" i="12" l="1"/>
  <c r="Y99" i="12"/>
  <c r="AI99" i="12"/>
  <c r="AD98" i="12"/>
  <c r="AG98" i="12" s="1"/>
  <c r="U99" i="12"/>
  <c r="AK99" i="12"/>
  <c r="AB99" i="12"/>
  <c r="AF99" i="12" s="1"/>
  <c r="AA99" i="12"/>
  <c r="AJ99" i="12"/>
  <c r="AC99" i="12"/>
  <c r="W98" i="12"/>
  <c r="V99" i="12"/>
  <c r="Q100" i="12"/>
  <c r="P101" i="12"/>
  <c r="T100" i="12"/>
  <c r="R100" i="12"/>
  <c r="S100" i="12"/>
  <c r="B100" i="12"/>
  <c r="A101" i="12"/>
  <c r="X100" i="12" l="1"/>
  <c r="Y100" i="12"/>
  <c r="AD99" i="12"/>
  <c r="AG99" i="12" s="1"/>
  <c r="S101" i="12"/>
  <c r="A102" i="12"/>
  <c r="B101" i="12"/>
  <c r="AB100" i="12"/>
  <c r="AF100" i="12" s="1"/>
  <c r="AA100" i="12"/>
  <c r="AK100" i="12"/>
  <c r="AC100" i="12"/>
  <c r="AJ100" i="12"/>
  <c r="U100" i="12"/>
  <c r="V100" i="12"/>
  <c r="W99" i="12"/>
  <c r="P102" i="12"/>
  <c r="Q101" i="12"/>
  <c r="T101" i="12"/>
  <c r="U101" i="12" s="1"/>
  <c r="R101" i="12"/>
  <c r="AI100" i="12"/>
  <c r="X101" i="12" l="1"/>
  <c r="Y101" i="12"/>
  <c r="AD100" i="12"/>
  <c r="AG100" i="12" s="1"/>
  <c r="AJ101" i="12"/>
  <c r="AB101" i="12"/>
  <c r="AF101" i="12" s="1"/>
  <c r="AC101" i="12"/>
  <c r="AA101" i="12"/>
  <c r="AK101" i="12"/>
  <c r="W100" i="12"/>
  <c r="V101" i="12"/>
  <c r="AI101" i="12"/>
  <c r="P103" i="12"/>
  <c r="Q102" i="12"/>
  <c r="T102" i="12"/>
  <c r="R102" i="12"/>
  <c r="A103" i="12"/>
  <c r="B102" i="12"/>
  <c r="S102" i="12"/>
  <c r="AD101" i="12" l="1"/>
  <c r="AG101" i="12" s="1"/>
  <c r="X102" i="12"/>
  <c r="Y102" i="12"/>
  <c r="AA102" i="12"/>
  <c r="AB102" i="12"/>
  <c r="AF102" i="12" s="1"/>
  <c r="AC102" i="12"/>
  <c r="AJ102" i="12"/>
  <c r="AK102" i="12"/>
  <c r="U102" i="12"/>
  <c r="W101" i="12"/>
  <c r="V102" i="12"/>
  <c r="S103" i="12"/>
  <c r="A104" i="12"/>
  <c r="B103" i="12"/>
  <c r="P104" i="12"/>
  <c r="Q103" i="12"/>
  <c r="T103" i="12"/>
  <c r="R103" i="12"/>
  <c r="AI102" i="12"/>
  <c r="X103" i="12" l="1"/>
  <c r="Y103" i="12"/>
  <c r="AI103" i="12"/>
  <c r="AD102" i="12"/>
  <c r="AG102" i="12" s="1"/>
  <c r="P105" i="12"/>
  <c r="Q104" i="12"/>
  <c r="T104" i="12"/>
  <c r="R104" i="12"/>
  <c r="B104" i="12"/>
  <c r="A105" i="12"/>
  <c r="S104" i="12"/>
  <c r="AJ103" i="12"/>
  <c r="AK103" i="12"/>
  <c r="AB103" i="12"/>
  <c r="AF103" i="12" s="1"/>
  <c r="AA103" i="12"/>
  <c r="AC103" i="12"/>
  <c r="AD103" i="12" s="1"/>
  <c r="AG103" i="12" s="1"/>
  <c r="V103" i="12"/>
  <c r="W102" i="12"/>
  <c r="U103" i="12"/>
  <c r="X104" i="12" l="1"/>
  <c r="Y104" i="12"/>
  <c r="AI104" i="12"/>
  <c r="U104" i="12"/>
  <c r="S105" i="12"/>
  <c r="A106" i="12"/>
  <c r="B105" i="12"/>
  <c r="V104" i="12"/>
  <c r="W103" i="12"/>
  <c r="AA104" i="12"/>
  <c r="AB104" i="12"/>
  <c r="AF104" i="12" s="1"/>
  <c r="AJ104" i="12"/>
  <c r="AK104" i="12"/>
  <c r="AC104" i="12"/>
  <c r="T105" i="12"/>
  <c r="P106" i="12"/>
  <c r="Q105" i="12"/>
  <c r="R105" i="12"/>
  <c r="X105" i="12" l="1"/>
  <c r="Y105" i="12"/>
  <c r="P107" i="12"/>
  <c r="Q106" i="12"/>
  <c r="T106" i="12"/>
  <c r="U106" i="12" s="1"/>
  <c r="R106" i="12"/>
  <c r="AI106" i="12" s="1"/>
  <c r="U105" i="12"/>
  <c r="V105" i="12"/>
  <c r="W104" i="12"/>
  <c r="A107" i="12"/>
  <c r="S106" i="12"/>
  <c r="B106" i="12"/>
  <c r="AI105" i="12"/>
  <c r="AD104" i="12"/>
  <c r="AG104" i="12" s="1"/>
  <c r="AJ105" i="12"/>
  <c r="AC105" i="12"/>
  <c r="AA105" i="12"/>
  <c r="AK105" i="12"/>
  <c r="AB105" i="12"/>
  <c r="AF105" i="12" s="1"/>
  <c r="X106" i="12" l="1"/>
  <c r="Y106" i="12"/>
  <c r="AA106" i="12"/>
  <c r="AB106" i="12"/>
  <c r="AF106" i="12" s="1"/>
  <c r="AC106" i="12"/>
  <c r="AJ106" i="12"/>
  <c r="AK106" i="12"/>
  <c r="AD105" i="12"/>
  <c r="AG105" i="12" s="1"/>
  <c r="V106" i="12"/>
  <c r="W105" i="12"/>
  <c r="S107" i="12"/>
  <c r="A108" i="12"/>
  <c r="B107" i="12"/>
  <c r="P108" i="12"/>
  <c r="Q107" i="12"/>
  <c r="T107" i="12"/>
  <c r="R107" i="12"/>
  <c r="X107" i="12" l="1"/>
  <c r="Y107" i="12"/>
  <c r="AD106" i="12"/>
  <c r="AG106" i="12" s="1"/>
  <c r="AI107" i="12"/>
  <c r="AJ107" i="12"/>
  <c r="AA107" i="12"/>
  <c r="AB107" i="12"/>
  <c r="AF107" i="12" s="1"/>
  <c r="AK107" i="12"/>
  <c r="AC107" i="12"/>
  <c r="AD107" i="12" s="1"/>
  <c r="AG107" i="12" s="1"/>
  <c r="T108" i="12"/>
  <c r="U108" i="12" s="1"/>
  <c r="P109" i="12"/>
  <c r="Q108" i="12"/>
  <c r="R108" i="12"/>
  <c r="U107" i="12"/>
  <c r="W106" i="12"/>
  <c r="V107" i="12"/>
  <c r="A109" i="12"/>
  <c r="S108" i="12"/>
  <c r="B108" i="12"/>
  <c r="X108" i="12" l="1"/>
  <c r="Y108" i="12"/>
  <c r="AI108" i="12"/>
  <c r="B109" i="12"/>
  <c r="A110" i="12"/>
  <c r="S109" i="12"/>
  <c r="V108" i="12"/>
  <c r="W107" i="12"/>
  <c r="AK108" i="12"/>
  <c r="AB108" i="12"/>
  <c r="AF108" i="12" s="1"/>
  <c r="AC108" i="12"/>
  <c r="AJ108" i="12"/>
  <c r="AA108" i="12"/>
  <c r="Q109" i="12"/>
  <c r="P110" i="12"/>
  <c r="T109" i="12"/>
  <c r="R109" i="12"/>
  <c r="X109" i="12" l="1"/>
  <c r="Y109" i="12"/>
  <c r="AI109" i="12"/>
  <c r="AD108" i="12"/>
  <c r="AG108" i="12" s="1"/>
  <c r="U109" i="12"/>
  <c r="A111" i="12"/>
  <c r="B110" i="12"/>
  <c r="S110" i="12"/>
  <c r="P111" i="12"/>
  <c r="Q110" i="12"/>
  <c r="T110" i="12"/>
  <c r="R110" i="12"/>
  <c r="AB109" i="12"/>
  <c r="AF109" i="12" s="1"/>
  <c r="AJ109" i="12"/>
  <c r="AC109" i="12"/>
  <c r="AD109" i="12" s="1"/>
  <c r="AG109" i="12" s="1"/>
  <c r="AA109" i="12"/>
  <c r="AK109" i="12"/>
  <c r="V109" i="12"/>
  <c r="W108" i="12"/>
  <c r="AI110" i="12" l="1"/>
  <c r="X110" i="12"/>
  <c r="Y110" i="12"/>
  <c r="Q111" i="12"/>
  <c r="P112" i="12"/>
  <c r="T111" i="12"/>
  <c r="U111" i="12" s="1"/>
  <c r="R111" i="12"/>
  <c r="AI111" i="12" s="1"/>
  <c r="A112" i="12"/>
  <c r="S111" i="12"/>
  <c r="B111" i="12"/>
  <c r="V110" i="12"/>
  <c r="W109" i="12"/>
  <c r="AK110" i="12"/>
  <c r="AJ110" i="12"/>
  <c r="AC110" i="12"/>
  <c r="AB110" i="12"/>
  <c r="AF110" i="12" s="1"/>
  <c r="AA110" i="12"/>
  <c r="U110" i="12"/>
  <c r="X111" i="12" l="1"/>
  <c r="Y111" i="12"/>
  <c r="AD110" i="12"/>
  <c r="AG110" i="12" s="1"/>
  <c r="P113" i="12"/>
  <c r="Q112" i="12"/>
  <c r="T112" i="12"/>
  <c r="R112" i="12"/>
  <c r="S112" i="12"/>
  <c r="A113" i="12"/>
  <c r="B112" i="12"/>
  <c r="V111" i="12"/>
  <c r="W110" i="12"/>
  <c r="AB111" i="12"/>
  <c r="AF111" i="12" s="1"/>
  <c r="AJ111" i="12"/>
  <c r="AC111" i="12"/>
  <c r="AA111" i="12"/>
  <c r="AK111" i="12"/>
  <c r="X112" i="12" l="1"/>
  <c r="Y112" i="12"/>
  <c r="AI112" i="12"/>
  <c r="P114" i="12"/>
  <c r="T113" i="12"/>
  <c r="Q113" i="12"/>
  <c r="R113" i="12"/>
  <c r="AK112" i="12"/>
  <c r="AJ112" i="12"/>
  <c r="AC112" i="12"/>
  <c r="AB112" i="12"/>
  <c r="AF112" i="12" s="1"/>
  <c r="AA112" i="12"/>
  <c r="U113" i="12"/>
  <c r="U112" i="12"/>
  <c r="AD111" i="12"/>
  <c r="AG111" i="12" s="1"/>
  <c r="W111" i="12"/>
  <c r="V112" i="12"/>
  <c r="S113" i="12"/>
  <c r="B113" i="12"/>
  <c r="A114" i="12"/>
  <c r="AI113" i="12"/>
  <c r="X113" i="12" l="1"/>
  <c r="Y113" i="12"/>
  <c r="T114" i="12"/>
  <c r="R114" i="12"/>
  <c r="P115" i="12"/>
  <c r="Q114" i="12"/>
  <c r="AI114" i="12" s="1"/>
  <c r="S114" i="12"/>
  <c r="A115" i="12"/>
  <c r="B114" i="12"/>
  <c r="AB113" i="12"/>
  <c r="AF113" i="12" s="1"/>
  <c r="AJ113" i="12"/>
  <c r="AC113" i="12"/>
  <c r="AA113" i="12"/>
  <c r="AK113" i="12"/>
  <c r="V113" i="12"/>
  <c r="W112" i="12"/>
  <c r="AD112" i="12"/>
  <c r="AG112" i="12" s="1"/>
  <c r="X114" i="12" l="1"/>
  <c r="Y114" i="12"/>
  <c r="AK114" i="12"/>
  <c r="AB114" i="12"/>
  <c r="AF114" i="12" s="1"/>
  <c r="AA114" i="12"/>
  <c r="AJ114" i="12"/>
  <c r="AC114" i="12"/>
  <c r="AD113" i="12"/>
  <c r="AG113" i="12" s="1"/>
  <c r="Q115" i="12"/>
  <c r="P116" i="12"/>
  <c r="T115" i="12"/>
  <c r="R115" i="12"/>
  <c r="W113" i="12"/>
  <c r="V114" i="12"/>
  <c r="S115" i="12"/>
  <c r="B115" i="12"/>
  <c r="A116" i="12"/>
  <c r="U114" i="12"/>
  <c r="AD114" i="12" l="1"/>
  <c r="AG114" i="12" s="1"/>
  <c r="X115" i="12"/>
  <c r="Y115" i="12"/>
  <c r="AI115" i="12"/>
  <c r="V115" i="12"/>
  <c r="W114" i="12"/>
  <c r="R116" i="12"/>
  <c r="AI116" i="12" s="1"/>
  <c r="P117" i="12"/>
  <c r="Q116" i="12"/>
  <c r="T116" i="12"/>
  <c r="AB115" i="12"/>
  <c r="AA115" i="12"/>
  <c r="AJ115" i="12"/>
  <c r="AC115" i="12"/>
  <c r="AK115" i="12"/>
  <c r="U115" i="12"/>
  <c r="S116" i="12"/>
  <c r="A117" i="12"/>
  <c r="B116" i="12"/>
  <c r="X116" i="12" l="1"/>
  <c r="Y116" i="12"/>
  <c r="P118" i="12"/>
  <c r="Q117" i="12"/>
  <c r="T117" i="12"/>
  <c r="R117" i="12"/>
  <c r="AD115" i="12"/>
  <c r="AG115" i="12" s="1"/>
  <c r="AF115" i="12"/>
  <c r="AJ116" i="12"/>
  <c r="AA116" i="12"/>
  <c r="AK116" i="12"/>
  <c r="AC116" i="12"/>
  <c r="AB116" i="12"/>
  <c r="AF116" i="12" s="1"/>
  <c r="U117" i="12"/>
  <c r="U116" i="12"/>
  <c r="B117" i="12"/>
  <c r="A118" i="12"/>
  <c r="S117" i="12"/>
  <c r="AI117" i="12"/>
  <c r="W115" i="12"/>
  <c r="V116" i="12"/>
  <c r="X117" i="12" l="1"/>
  <c r="Y117" i="12"/>
  <c r="V117" i="12"/>
  <c r="W116" i="12"/>
  <c r="AA117" i="12"/>
  <c r="AB117" i="12"/>
  <c r="AF117" i="12" s="1"/>
  <c r="AK117" i="12"/>
  <c r="AC117" i="12"/>
  <c r="AJ117" i="12"/>
  <c r="AD116" i="12"/>
  <c r="AG116" i="12" s="1"/>
  <c r="P119" i="12"/>
  <c r="Q118" i="12"/>
  <c r="R118" i="12"/>
  <c r="S118" i="12"/>
  <c r="A119" i="12"/>
  <c r="B118" i="12"/>
  <c r="T118" i="12"/>
  <c r="X118" i="12" l="1"/>
  <c r="Y118" i="12"/>
  <c r="AD117" i="12"/>
  <c r="AG117" i="12" s="1"/>
  <c r="T119" i="12"/>
  <c r="U118" i="12"/>
  <c r="AJ118" i="12"/>
  <c r="AA118" i="12"/>
  <c r="AB118" i="12"/>
  <c r="AF118" i="12" s="1"/>
  <c r="AC118" i="12"/>
  <c r="AK118" i="12"/>
  <c r="A120" i="12"/>
  <c r="S119" i="12"/>
  <c r="B119" i="12"/>
  <c r="P120" i="12"/>
  <c r="R119" i="12"/>
  <c r="Q119" i="12"/>
  <c r="AI118" i="12"/>
  <c r="V118" i="12"/>
  <c r="W117" i="12"/>
  <c r="X119" i="12" l="1"/>
  <c r="Y119" i="12"/>
  <c r="AD118" i="12"/>
  <c r="AG118" i="12" s="1"/>
  <c r="AA119" i="12"/>
  <c r="AB119" i="12"/>
  <c r="AF119" i="12" s="1"/>
  <c r="AC119" i="12"/>
  <c r="AJ119" i="12"/>
  <c r="AK119" i="12"/>
  <c r="V119" i="12"/>
  <c r="W118" i="12"/>
  <c r="AI119" i="12"/>
  <c r="T120" i="12"/>
  <c r="U119" i="12"/>
  <c r="P121" i="12"/>
  <c r="Q120" i="12"/>
  <c r="R120" i="12"/>
  <c r="S120" i="12"/>
  <c r="A121" i="12"/>
  <c r="B120" i="12"/>
  <c r="X120" i="12" l="1"/>
  <c r="Y120" i="12"/>
  <c r="AI120" i="12"/>
  <c r="A122" i="12"/>
  <c r="S121" i="12"/>
  <c r="B121" i="12"/>
  <c r="P122" i="12"/>
  <c r="Q121" i="12"/>
  <c r="R121" i="12"/>
  <c r="T121" i="12"/>
  <c r="U121" i="12" s="1"/>
  <c r="U120" i="12"/>
  <c r="W119" i="12"/>
  <c r="V120" i="12"/>
  <c r="AJ120" i="12"/>
  <c r="AB120" i="12"/>
  <c r="AF120" i="12" s="1"/>
  <c r="AC120" i="12"/>
  <c r="AK120" i="12"/>
  <c r="AA120" i="12"/>
  <c r="AI121" i="12"/>
  <c r="AD119" i="12"/>
  <c r="AG119" i="12" s="1"/>
  <c r="X121" i="12" l="1"/>
  <c r="Y121" i="12"/>
  <c r="T122" i="12"/>
  <c r="AA121" i="12"/>
  <c r="AB121" i="12"/>
  <c r="AF121" i="12" s="1"/>
  <c r="AC121" i="12"/>
  <c r="AJ121" i="12"/>
  <c r="AK121" i="12"/>
  <c r="AD120" i="12"/>
  <c r="AG120" i="12" s="1"/>
  <c r="V121" i="12"/>
  <c r="W120" i="12"/>
  <c r="P123" i="12"/>
  <c r="Q122" i="12"/>
  <c r="R122" i="12"/>
  <c r="A123" i="12"/>
  <c r="B122" i="12"/>
  <c r="S122" i="12"/>
  <c r="X122" i="12" l="1"/>
  <c r="Y122" i="12"/>
  <c r="AI122" i="12"/>
  <c r="AD121" i="12"/>
  <c r="AG121" i="12" s="1"/>
  <c r="V122" i="12"/>
  <c r="W121" i="12"/>
  <c r="AJ122" i="12"/>
  <c r="AC122" i="12"/>
  <c r="AA122" i="12"/>
  <c r="AK122" i="12"/>
  <c r="AB122" i="12"/>
  <c r="AF122" i="12" s="1"/>
  <c r="T123" i="12"/>
  <c r="U122" i="12"/>
  <c r="P124" i="12"/>
  <c r="Q123" i="12"/>
  <c r="AI123" i="12" s="1"/>
  <c r="R123" i="12"/>
  <c r="S123" i="12"/>
  <c r="A124" i="12"/>
  <c r="B123" i="12"/>
  <c r="X123" i="12" l="1"/>
  <c r="Y123" i="12"/>
  <c r="AB123" i="12"/>
  <c r="AF123" i="12" s="1"/>
  <c r="AC123" i="12"/>
  <c r="AA123" i="12"/>
  <c r="AK123" i="12"/>
  <c r="AJ123" i="12"/>
  <c r="T124" i="12"/>
  <c r="U124" i="12" s="1"/>
  <c r="U123" i="12"/>
  <c r="S124" i="12"/>
  <c r="B124" i="12"/>
  <c r="A125" i="12"/>
  <c r="V123" i="12"/>
  <c r="W122" i="12"/>
  <c r="P125" i="12"/>
  <c r="Q124" i="12"/>
  <c r="R124" i="12"/>
  <c r="AD122" i="12"/>
  <c r="AG122" i="12" s="1"/>
  <c r="X124" i="12" l="1"/>
  <c r="Y124" i="12"/>
  <c r="AD123" i="12"/>
  <c r="AG123" i="12" s="1"/>
  <c r="AK124" i="12"/>
  <c r="AB124" i="12"/>
  <c r="AF124" i="12" s="1"/>
  <c r="AC124" i="12"/>
  <c r="AA124" i="12"/>
  <c r="AJ124" i="12"/>
  <c r="A126" i="12"/>
  <c r="S125" i="12"/>
  <c r="B125" i="12"/>
  <c r="P126" i="12"/>
  <c r="Q125" i="12"/>
  <c r="R125" i="12"/>
  <c r="AI124" i="12"/>
  <c r="V124" i="12"/>
  <c r="W123" i="12"/>
  <c r="T125" i="12"/>
  <c r="X125" i="12" l="1"/>
  <c r="Y125" i="12"/>
  <c r="AD124" i="12"/>
  <c r="AG124" i="12" s="1"/>
  <c r="W124" i="12"/>
  <c r="V125" i="12"/>
  <c r="Q126" i="12"/>
  <c r="P127" i="12"/>
  <c r="R126" i="12"/>
  <c r="B126" i="12"/>
  <c r="A127" i="12"/>
  <c r="S126" i="12"/>
  <c r="T126" i="12"/>
  <c r="U125" i="12"/>
  <c r="U126" i="12"/>
  <c r="AC125" i="12"/>
  <c r="AJ125" i="12"/>
  <c r="AB125" i="12"/>
  <c r="AF125" i="12" s="1"/>
  <c r="AA125" i="12"/>
  <c r="AK125" i="12"/>
  <c r="AI125" i="12"/>
  <c r="X126" i="12" l="1"/>
  <c r="Y126" i="12"/>
  <c r="AD125" i="12"/>
  <c r="AG125" i="12" s="1"/>
  <c r="T127" i="12"/>
  <c r="U127" i="12" s="1"/>
  <c r="B127" i="12"/>
  <c r="A128" i="12"/>
  <c r="S127" i="12"/>
  <c r="V126" i="12"/>
  <c r="W125" i="12"/>
  <c r="AA126" i="12"/>
  <c r="AB126" i="12"/>
  <c r="AF126" i="12" s="1"/>
  <c r="AK126" i="12"/>
  <c r="AJ126" i="12"/>
  <c r="AC126" i="12"/>
  <c r="Q127" i="12"/>
  <c r="P128" i="12"/>
  <c r="R127" i="12"/>
  <c r="AI126" i="12"/>
  <c r="AD126" i="12" l="1"/>
  <c r="AG126" i="12" s="1"/>
  <c r="X127" i="12"/>
  <c r="Y127" i="12"/>
  <c r="P129" i="12"/>
  <c r="Q128" i="12"/>
  <c r="R128" i="12"/>
  <c r="AI128" i="12" s="1"/>
  <c r="V127" i="12"/>
  <c r="W126" i="12"/>
  <c r="B128" i="12"/>
  <c r="A129" i="12"/>
  <c r="S128" i="12"/>
  <c r="T128" i="12"/>
  <c r="U128" i="12" s="1"/>
  <c r="AI127" i="12"/>
  <c r="AK127" i="12"/>
  <c r="AA127" i="12"/>
  <c r="AC127" i="12"/>
  <c r="AJ127" i="12"/>
  <c r="AB127" i="12"/>
  <c r="AF127" i="12" s="1"/>
  <c r="X128" i="12" l="1"/>
  <c r="Y128" i="12"/>
  <c r="S129" i="12"/>
  <c r="A130" i="12"/>
  <c r="B129" i="12"/>
  <c r="V128" i="12"/>
  <c r="W127" i="12"/>
  <c r="AD127" i="12"/>
  <c r="AG127" i="12" s="1"/>
  <c r="T129" i="12"/>
  <c r="AJ128" i="12"/>
  <c r="AK128" i="12"/>
  <c r="AB128" i="12"/>
  <c r="AF128" i="12" s="1"/>
  <c r="AA128" i="12"/>
  <c r="AC128" i="12"/>
  <c r="R129" i="12"/>
  <c r="P130" i="12"/>
  <c r="Q129" i="12"/>
  <c r="AD128" i="12" l="1"/>
  <c r="AG128" i="12" s="1"/>
  <c r="X129" i="12"/>
  <c r="Y129" i="12"/>
  <c r="AI129" i="12"/>
  <c r="Q130" i="12"/>
  <c r="P131" i="12"/>
  <c r="R130" i="12"/>
  <c r="AB129" i="12"/>
  <c r="AF129" i="12" s="1"/>
  <c r="AC129" i="12"/>
  <c r="AJ129" i="12"/>
  <c r="AA129" i="12"/>
  <c r="AK129" i="12"/>
  <c r="S130" i="12"/>
  <c r="B130" i="12"/>
  <c r="A131" i="12"/>
  <c r="T130" i="12"/>
  <c r="U129" i="12"/>
  <c r="V129" i="12"/>
  <c r="W128" i="12"/>
  <c r="X130" i="12" l="1"/>
  <c r="Y130" i="12"/>
  <c r="AD129" i="12"/>
  <c r="AG129" i="12" s="1"/>
  <c r="A132" i="12"/>
  <c r="S131" i="12"/>
  <c r="B131" i="12"/>
  <c r="U130" i="12"/>
  <c r="V130" i="12"/>
  <c r="W129" i="12"/>
  <c r="T131" i="12"/>
  <c r="AK130" i="12"/>
  <c r="AA130" i="12"/>
  <c r="AJ130" i="12"/>
  <c r="AB130" i="12"/>
  <c r="AF130" i="12" s="1"/>
  <c r="AC130" i="12"/>
  <c r="AD130" i="12" s="1"/>
  <c r="AG130" i="12" s="1"/>
  <c r="AI130" i="12"/>
  <c r="P132" i="12"/>
  <c r="Q131" i="12"/>
  <c r="R131" i="12"/>
  <c r="X131" i="12" l="1"/>
  <c r="Y131" i="12"/>
  <c r="T132" i="12"/>
  <c r="U131" i="12"/>
  <c r="A133" i="12"/>
  <c r="S132" i="12"/>
  <c r="B132" i="12"/>
  <c r="Q132" i="12"/>
  <c r="P133" i="12"/>
  <c r="R132" i="12"/>
  <c r="AC131" i="12"/>
  <c r="AJ131" i="12"/>
  <c r="AB131" i="12"/>
  <c r="AF131" i="12" s="1"/>
  <c r="AK131" i="12"/>
  <c r="AA131" i="12"/>
  <c r="AI131" i="12"/>
  <c r="W130" i="12"/>
  <c r="V131" i="12"/>
  <c r="X132" i="12" l="1"/>
  <c r="Y132" i="12"/>
  <c r="AD131" i="12"/>
  <c r="AG131" i="12" s="1"/>
  <c r="Q133" i="12"/>
  <c r="P134" i="12"/>
  <c r="R133" i="12"/>
  <c r="AI133" i="12" s="1"/>
  <c r="W131" i="12"/>
  <c r="V132" i="12"/>
  <c r="A134" i="12"/>
  <c r="S133" i="12"/>
  <c r="B133" i="12"/>
  <c r="T133" i="12"/>
  <c r="U132" i="12"/>
  <c r="AA132" i="12"/>
  <c r="AK132" i="12"/>
  <c r="AJ132" i="12"/>
  <c r="AC132" i="12"/>
  <c r="AB132" i="12"/>
  <c r="AF132" i="12" s="1"/>
  <c r="AI132" i="12"/>
  <c r="X133" i="12" l="1"/>
  <c r="Y133" i="12"/>
  <c r="AJ133" i="12"/>
  <c r="AK133" i="12"/>
  <c r="AB133" i="12"/>
  <c r="AF133" i="12" s="1"/>
  <c r="AC133" i="12"/>
  <c r="AA133" i="12"/>
  <c r="Q134" i="12"/>
  <c r="P135" i="12"/>
  <c r="R134" i="12"/>
  <c r="AD132" i="12"/>
  <c r="AG132" i="12" s="1"/>
  <c r="W132" i="12"/>
  <c r="V133" i="12"/>
  <c r="T134" i="12"/>
  <c r="U133" i="12"/>
  <c r="A135" i="12"/>
  <c r="S134" i="12"/>
  <c r="B134" i="12"/>
  <c r="X134" i="12" l="1"/>
  <c r="Y134" i="12"/>
  <c r="AI134" i="12"/>
  <c r="S135" i="12"/>
  <c r="B135" i="12"/>
  <c r="A136" i="12"/>
  <c r="AD133" i="12"/>
  <c r="AG133" i="12" s="1"/>
  <c r="W133" i="12"/>
  <c r="V134" i="12"/>
  <c r="Q135" i="12"/>
  <c r="P136" i="12"/>
  <c r="R135" i="12"/>
  <c r="AB134" i="12"/>
  <c r="AF134" i="12" s="1"/>
  <c r="AJ134" i="12"/>
  <c r="AC134" i="12"/>
  <c r="AK134" i="12"/>
  <c r="AA134" i="12"/>
  <c r="T135" i="12"/>
  <c r="U134" i="12"/>
  <c r="AD134" i="12" l="1"/>
  <c r="AG134" i="12" s="1"/>
  <c r="AI135" i="12"/>
  <c r="X135" i="12"/>
  <c r="Y135" i="12"/>
  <c r="V135" i="12"/>
  <c r="W134" i="12"/>
  <c r="S136" i="12"/>
  <c r="B136" i="12"/>
  <c r="A137" i="12"/>
  <c r="AA135" i="12"/>
  <c r="AJ135" i="12"/>
  <c r="AC135" i="12"/>
  <c r="AB135" i="12"/>
  <c r="AF135" i="12" s="1"/>
  <c r="AK135" i="12"/>
  <c r="Q136" i="12"/>
  <c r="P137" i="12"/>
  <c r="R136" i="12"/>
  <c r="T136" i="12"/>
  <c r="U135" i="12"/>
  <c r="X136" i="12" l="1"/>
  <c r="Y136" i="12"/>
  <c r="AI136" i="12"/>
  <c r="T137" i="12"/>
  <c r="U136" i="12"/>
  <c r="AK136" i="12"/>
  <c r="AA136" i="12"/>
  <c r="AJ136" i="12"/>
  <c r="AB136" i="12"/>
  <c r="AF136" i="12" s="1"/>
  <c r="AC136" i="12"/>
  <c r="AD136" i="12" s="1"/>
  <c r="AG136" i="12" s="1"/>
  <c r="P138" i="12"/>
  <c r="Q137" i="12"/>
  <c r="R137" i="12"/>
  <c r="AD135" i="12"/>
  <c r="AG135" i="12" s="1"/>
  <c r="A138" i="12"/>
  <c r="S137" i="12"/>
  <c r="B137" i="12"/>
  <c r="W135" i="12"/>
  <c r="V136" i="12"/>
  <c r="X137" i="12" l="1"/>
  <c r="Y137" i="12"/>
  <c r="AI137" i="12"/>
  <c r="W136" i="12"/>
  <c r="V137" i="12"/>
  <c r="A139" i="12"/>
  <c r="S138" i="12"/>
  <c r="B138" i="12"/>
  <c r="Q138" i="12"/>
  <c r="P139" i="12"/>
  <c r="R138" i="12"/>
  <c r="AC137" i="12"/>
  <c r="AJ137" i="12"/>
  <c r="AB137" i="12"/>
  <c r="AF137" i="12" s="1"/>
  <c r="AA137" i="12"/>
  <c r="AK137" i="12"/>
  <c r="T138" i="12"/>
  <c r="U137" i="12"/>
  <c r="X138" i="12" l="1"/>
  <c r="Y138" i="12"/>
  <c r="AD137" i="12"/>
  <c r="AG137" i="12" s="1"/>
  <c r="AA138" i="12"/>
  <c r="AK138" i="12"/>
  <c r="AJ138" i="12"/>
  <c r="AC138" i="12"/>
  <c r="AB138" i="12"/>
  <c r="AF138" i="12" s="1"/>
  <c r="W137" i="12"/>
  <c r="V138" i="12"/>
  <c r="T139" i="12"/>
  <c r="U138" i="12"/>
  <c r="Q139" i="12"/>
  <c r="P140" i="12"/>
  <c r="R139" i="12"/>
  <c r="A140" i="12"/>
  <c r="S139" i="12"/>
  <c r="B139" i="12"/>
  <c r="AI138" i="12"/>
  <c r="AI139" i="12" l="1"/>
  <c r="X139" i="12"/>
  <c r="Y139" i="12"/>
  <c r="AJ139" i="12"/>
  <c r="AA139" i="12"/>
  <c r="AK139" i="12"/>
  <c r="AB139" i="12"/>
  <c r="AF139" i="12" s="1"/>
  <c r="AC139" i="12"/>
  <c r="AD139" i="12" s="1"/>
  <c r="AG139" i="12" s="1"/>
  <c r="W138" i="12"/>
  <c r="V139" i="12"/>
  <c r="A141" i="12"/>
  <c r="S140" i="12"/>
  <c r="B140" i="12"/>
  <c r="Q140" i="12"/>
  <c r="P141" i="12"/>
  <c r="R140" i="12"/>
  <c r="T140" i="12"/>
  <c r="U139" i="12"/>
  <c r="U140" i="12"/>
  <c r="AD138" i="12"/>
  <c r="AG138" i="12" s="1"/>
  <c r="X140" i="12" l="1"/>
  <c r="Y140" i="12"/>
  <c r="T141" i="12"/>
  <c r="AB140" i="12"/>
  <c r="AF140" i="12" s="1"/>
  <c r="AJ140" i="12"/>
  <c r="AC140" i="12"/>
  <c r="AA140" i="12"/>
  <c r="AK140" i="12"/>
  <c r="W139" i="12"/>
  <c r="V140" i="12"/>
  <c r="U141" i="12"/>
  <c r="P142" i="12"/>
  <c r="R141" i="12"/>
  <c r="Q141" i="12"/>
  <c r="S141" i="12"/>
  <c r="B141" i="12"/>
  <c r="A142" i="12"/>
  <c r="AI140" i="12"/>
  <c r="X141" i="12" l="1"/>
  <c r="Y141" i="12"/>
  <c r="AD140" i="12"/>
  <c r="AG140" i="12" s="1"/>
  <c r="A143" i="12"/>
  <c r="S142" i="12"/>
  <c r="B142" i="12"/>
  <c r="AI141" i="12"/>
  <c r="V141" i="12"/>
  <c r="W140" i="12"/>
  <c r="AK141" i="12"/>
  <c r="AJ141" i="12"/>
  <c r="AC141" i="12"/>
  <c r="AB141" i="12"/>
  <c r="AF141" i="12" s="1"/>
  <c r="AA141" i="12"/>
  <c r="P143" i="12"/>
  <c r="Q142" i="12"/>
  <c r="R142" i="12"/>
  <c r="T142" i="12"/>
  <c r="X142" i="12" l="1"/>
  <c r="Y142" i="12"/>
  <c r="P144" i="12"/>
  <c r="Q143" i="12"/>
  <c r="R143" i="12"/>
  <c r="T143" i="12"/>
  <c r="U143" i="12" s="1"/>
  <c r="U142" i="12"/>
  <c r="AD141" i="12"/>
  <c r="AG141" i="12" s="1"/>
  <c r="W141" i="12"/>
  <c r="V142" i="12"/>
  <c r="AJ142" i="12"/>
  <c r="AK142" i="12"/>
  <c r="AB142" i="12"/>
  <c r="AF142" i="12" s="1"/>
  <c r="AA142" i="12"/>
  <c r="AC142" i="12"/>
  <c r="AI142" i="12"/>
  <c r="B143" i="12"/>
  <c r="A144" i="12"/>
  <c r="S143" i="12"/>
  <c r="AI143" i="12" l="1"/>
  <c r="AD142" i="12"/>
  <c r="AG142" i="12" s="1"/>
  <c r="X143" i="12"/>
  <c r="Y143" i="12"/>
  <c r="V143" i="12"/>
  <c r="W142" i="12"/>
  <c r="T144" i="12"/>
  <c r="AB143" i="12"/>
  <c r="AF143" i="12" s="1"/>
  <c r="AJ143" i="12"/>
  <c r="AC143" i="12"/>
  <c r="AK143" i="12"/>
  <c r="AA143" i="12"/>
  <c r="S144" i="12"/>
  <c r="B144" i="12"/>
  <c r="A145" i="12"/>
  <c r="P145" i="12"/>
  <c r="Q144" i="12"/>
  <c r="R144" i="12"/>
  <c r="X144" i="12" l="1"/>
  <c r="Y144" i="12"/>
  <c r="AD143" i="12"/>
  <c r="AG143" i="12" s="1"/>
  <c r="AA144" i="12"/>
  <c r="AK144" i="12"/>
  <c r="AJ144" i="12"/>
  <c r="AC144" i="12"/>
  <c r="AB144" i="12"/>
  <c r="AF144" i="12" s="1"/>
  <c r="T145" i="12"/>
  <c r="U144" i="12"/>
  <c r="S145" i="12"/>
  <c r="B145" i="12"/>
  <c r="A146" i="12"/>
  <c r="P146" i="12"/>
  <c r="Q145" i="12"/>
  <c r="R145" i="12"/>
  <c r="AI144" i="12"/>
  <c r="V144" i="12"/>
  <c r="W143" i="12"/>
  <c r="X145" i="12" l="1"/>
  <c r="Y145" i="12"/>
  <c r="AK145" i="12"/>
  <c r="AC145" i="12"/>
  <c r="AA145" i="12"/>
  <c r="AJ145" i="12"/>
  <c r="AB145" i="12"/>
  <c r="AF145" i="12" s="1"/>
  <c r="P147" i="12"/>
  <c r="Q146" i="12"/>
  <c r="R146" i="12"/>
  <c r="T146" i="12"/>
  <c r="U145" i="12"/>
  <c r="W144" i="12"/>
  <c r="V145" i="12"/>
  <c r="A147" i="12"/>
  <c r="S146" i="12"/>
  <c r="B146" i="12"/>
  <c r="AD144" i="12"/>
  <c r="AG144" i="12" s="1"/>
  <c r="AI145" i="12"/>
  <c r="X146" i="12" l="1"/>
  <c r="Y146" i="12"/>
  <c r="B147" i="12"/>
  <c r="A148" i="12"/>
  <c r="S147" i="12"/>
  <c r="AJ146" i="12"/>
  <c r="AK146" i="12"/>
  <c r="AB146" i="12"/>
  <c r="AF146" i="12" s="1"/>
  <c r="AC146" i="12"/>
  <c r="AA146" i="12"/>
  <c r="U146" i="12"/>
  <c r="P148" i="12"/>
  <c r="Q147" i="12"/>
  <c r="R147" i="12"/>
  <c r="AD145" i="12"/>
  <c r="AG145" i="12" s="1"/>
  <c r="T147" i="12"/>
  <c r="W145" i="12"/>
  <c r="V146" i="12"/>
  <c r="AI146" i="12"/>
  <c r="AI147" i="12" l="1"/>
  <c r="X147" i="12"/>
  <c r="Y147" i="12"/>
  <c r="V147" i="12"/>
  <c r="W146" i="12"/>
  <c r="S148" i="12"/>
  <c r="B148" i="12"/>
  <c r="A149" i="12"/>
  <c r="T148" i="12"/>
  <c r="P149" i="12"/>
  <c r="Q148" i="12"/>
  <c r="R148" i="12"/>
  <c r="AD146" i="12"/>
  <c r="AG146" i="12" s="1"/>
  <c r="U147" i="12"/>
  <c r="AB147" i="12"/>
  <c r="AF147" i="12" s="1"/>
  <c r="AJ147" i="12"/>
  <c r="AC147" i="12"/>
  <c r="AK147" i="12"/>
  <c r="AA147" i="12"/>
  <c r="X148" i="12" l="1"/>
  <c r="Y148" i="12"/>
  <c r="AD147" i="12"/>
  <c r="AG147" i="12" s="1"/>
  <c r="P150" i="12"/>
  <c r="Q149" i="12"/>
  <c r="R149" i="12"/>
  <c r="S149" i="12"/>
  <c r="B149" i="12"/>
  <c r="A150" i="12"/>
  <c r="AA148" i="12"/>
  <c r="AK148" i="12"/>
  <c r="AJ148" i="12"/>
  <c r="AC148" i="12"/>
  <c r="AB148" i="12"/>
  <c r="AF148" i="12" s="1"/>
  <c r="V148" i="12"/>
  <c r="W147" i="12"/>
  <c r="T149" i="12"/>
  <c r="U148" i="12"/>
  <c r="AI148" i="12"/>
  <c r="AI149" i="12" l="1"/>
  <c r="X149" i="12"/>
  <c r="Y149" i="12"/>
  <c r="T150" i="12"/>
  <c r="U150" i="12" s="1"/>
  <c r="W148" i="12"/>
  <c r="V149" i="12"/>
  <c r="A151" i="12"/>
  <c r="S150" i="12"/>
  <c r="B150" i="12"/>
  <c r="AK149" i="12"/>
  <c r="AB149" i="12"/>
  <c r="AF149" i="12" s="1"/>
  <c r="AA149" i="12"/>
  <c r="AC149" i="12"/>
  <c r="AJ149" i="12"/>
  <c r="P151" i="12"/>
  <c r="Q150" i="12"/>
  <c r="R150" i="12"/>
  <c r="AD148" i="12"/>
  <c r="AG148" i="12" s="1"/>
  <c r="U149" i="12"/>
  <c r="AI150" i="12" l="1"/>
  <c r="X150" i="12"/>
  <c r="Y150" i="12"/>
  <c r="P152" i="12"/>
  <c r="Q151" i="12"/>
  <c r="R151" i="12"/>
  <c r="AJ150" i="12"/>
  <c r="AK150" i="12"/>
  <c r="AB150" i="12"/>
  <c r="AF150" i="12" s="1"/>
  <c r="AC150" i="12"/>
  <c r="AA150" i="12"/>
  <c r="AD149" i="12"/>
  <c r="AG149" i="12" s="1"/>
  <c r="B151" i="12"/>
  <c r="A152" i="12"/>
  <c r="S151" i="12"/>
  <c r="W149" i="12"/>
  <c r="V150" i="12"/>
  <c r="T151" i="12"/>
  <c r="X151" i="12" l="1"/>
  <c r="Y151" i="12"/>
  <c r="AI151" i="12"/>
  <c r="T152" i="12"/>
  <c r="U151" i="12"/>
  <c r="AD150" i="12"/>
  <c r="AG150" i="12" s="1"/>
  <c r="V151" i="12"/>
  <c r="W150" i="12"/>
  <c r="S152" i="12"/>
  <c r="B152" i="12"/>
  <c r="A153" i="12"/>
  <c r="AB151" i="12"/>
  <c r="AF151" i="12" s="1"/>
  <c r="AJ151" i="12"/>
  <c r="AC151" i="12"/>
  <c r="AK151" i="12"/>
  <c r="AA151" i="12"/>
  <c r="P153" i="12"/>
  <c r="Q152" i="12"/>
  <c r="R152" i="12"/>
  <c r="AD151" i="12" l="1"/>
  <c r="AG151" i="12" s="1"/>
  <c r="X152" i="12"/>
  <c r="Y152" i="12"/>
  <c r="P154" i="12"/>
  <c r="Q153" i="12"/>
  <c r="R153" i="12"/>
  <c r="AI152" i="12"/>
  <c r="S153" i="12"/>
  <c r="B153" i="12"/>
  <c r="A154" i="12"/>
  <c r="V152" i="12"/>
  <c r="W151" i="12"/>
  <c r="AA152" i="12"/>
  <c r="AK152" i="12"/>
  <c r="AJ152" i="12"/>
  <c r="AC152" i="12"/>
  <c r="AB152" i="12"/>
  <c r="AF152" i="12" s="1"/>
  <c r="T153" i="12"/>
  <c r="U152" i="12"/>
  <c r="X153" i="12" l="1"/>
  <c r="Y153" i="12"/>
  <c r="A155" i="12"/>
  <c r="S154" i="12"/>
  <c r="B154" i="12"/>
  <c r="AD152" i="12"/>
  <c r="AG152" i="12" s="1"/>
  <c r="AK153" i="12"/>
  <c r="AJ153" i="12"/>
  <c r="AB153" i="12"/>
  <c r="AF153" i="12" s="1"/>
  <c r="AA153" i="12"/>
  <c r="AC153" i="12"/>
  <c r="W152" i="12"/>
  <c r="V153" i="12"/>
  <c r="P155" i="12"/>
  <c r="Q154" i="12"/>
  <c r="R154" i="12"/>
  <c r="T154" i="12"/>
  <c r="U154" i="12" s="1"/>
  <c r="U153" i="12"/>
  <c r="AI153" i="12"/>
  <c r="X154" i="12" l="1"/>
  <c r="Y154" i="12"/>
  <c r="AD153" i="12"/>
  <c r="AG153" i="12" s="1"/>
  <c r="AI154" i="12"/>
  <c r="AJ154" i="12"/>
  <c r="AK154" i="12"/>
  <c r="AB154" i="12"/>
  <c r="AF154" i="12" s="1"/>
  <c r="AA154" i="12"/>
  <c r="AC154" i="12"/>
  <c r="AD154" i="12" s="1"/>
  <c r="AG154" i="12" s="1"/>
  <c r="P156" i="12"/>
  <c r="Q155" i="12"/>
  <c r="R155" i="12"/>
  <c r="T155" i="12"/>
  <c r="W153" i="12"/>
  <c r="V154" i="12"/>
  <c r="B155" i="12"/>
  <c r="A156" i="12"/>
  <c r="S155" i="12"/>
  <c r="X155" i="12" l="1"/>
  <c r="Y155" i="12"/>
  <c r="AB155" i="12"/>
  <c r="AF155" i="12" s="1"/>
  <c r="AJ155" i="12"/>
  <c r="AC155" i="12"/>
  <c r="AA155" i="12"/>
  <c r="AK155" i="12"/>
  <c r="P157" i="12"/>
  <c r="Q156" i="12"/>
  <c r="R156" i="12"/>
  <c r="V155" i="12"/>
  <c r="W154" i="12"/>
  <c r="T156" i="12"/>
  <c r="U156" i="12" s="1"/>
  <c r="U155" i="12"/>
  <c r="S156" i="12"/>
  <c r="B156" i="12"/>
  <c r="A157" i="12"/>
  <c r="AI156" i="12"/>
  <c r="AI155" i="12"/>
  <c r="X156" i="12" l="1"/>
  <c r="Y156" i="12"/>
  <c r="V156" i="12"/>
  <c r="W155" i="12"/>
  <c r="S157" i="12"/>
  <c r="B157" i="12"/>
  <c r="A158" i="12"/>
  <c r="T157" i="12"/>
  <c r="AD155" i="12"/>
  <c r="AG155" i="12" s="1"/>
  <c r="P158" i="12"/>
  <c r="Q157" i="12"/>
  <c r="R157" i="12"/>
  <c r="AA156" i="12"/>
  <c r="AK156" i="12"/>
  <c r="AJ156" i="12"/>
  <c r="AC156" i="12"/>
  <c r="AB156" i="12"/>
  <c r="AF156" i="12" s="1"/>
  <c r="AI157" i="12" l="1"/>
  <c r="X157" i="12"/>
  <c r="Y157" i="12"/>
  <c r="P159" i="12"/>
  <c r="Q158" i="12"/>
  <c r="R158" i="12"/>
  <c r="A159" i="12"/>
  <c r="S158" i="12"/>
  <c r="B158" i="12"/>
  <c r="W156" i="12"/>
  <c r="V157" i="12"/>
  <c r="AK157" i="12"/>
  <c r="AB157" i="12"/>
  <c r="AF157" i="12" s="1"/>
  <c r="AC157" i="12"/>
  <c r="AA157" i="12"/>
  <c r="AJ157" i="12"/>
  <c r="AD156" i="12"/>
  <c r="AG156" i="12" s="1"/>
  <c r="T158" i="12"/>
  <c r="U157" i="12"/>
  <c r="X158" i="12" l="1"/>
  <c r="Y158" i="12"/>
  <c r="AI158" i="12"/>
  <c r="AD157" i="12"/>
  <c r="AG157" i="12" s="1"/>
  <c r="T159" i="12"/>
  <c r="B159" i="12"/>
  <c r="A160" i="12"/>
  <c r="S159" i="12"/>
  <c r="P160" i="12"/>
  <c r="Q159" i="12"/>
  <c r="R159" i="12"/>
  <c r="U158" i="12"/>
  <c r="AJ158" i="12"/>
  <c r="AK158" i="12"/>
  <c r="AB158" i="12"/>
  <c r="AF158" i="12" s="1"/>
  <c r="AC158" i="12"/>
  <c r="AA158" i="12"/>
  <c r="W157" i="12"/>
  <c r="V158" i="12"/>
  <c r="X159" i="12" l="1"/>
  <c r="Y159" i="12"/>
  <c r="AI159" i="12"/>
  <c r="P161" i="12"/>
  <c r="Q160" i="12"/>
  <c r="R160" i="12"/>
  <c r="AB159" i="12"/>
  <c r="AF159" i="12" s="1"/>
  <c r="AJ159" i="12"/>
  <c r="AC159" i="12"/>
  <c r="AK159" i="12"/>
  <c r="AA159" i="12"/>
  <c r="AD158" i="12"/>
  <c r="AG158" i="12" s="1"/>
  <c r="S160" i="12"/>
  <c r="B160" i="12"/>
  <c r="A161" i="12"/>
  <c r="V159" i="12"/>
  <c r="W158" i="12"/>
  <c r="T160" i="12"/>
  <c r="U159" i="12"/>
  <c r="X160" i="12" l="1"/>
  <c r="Y160" i="12"/>
  <c r="AI160" i="12"/>
  <c r="AD159" i="12"/>
  <c r="AG159" i="12" s="1"/>
  <c r="S161" i="12"/>
  <c r="B161" i="12"/>
  <c r="A162" i="12"/>
  <c r="AA160" i="12"/>
  <c r="AK160" i="12"/>
  <c r="AJ160" i="12"/>
  <c r="AC160" i="12"/>
  <c r="AB160" i="12"/>
  <c r="AF160" i="12" s="1"/>
  <c r="V160" i="12"/>
  <c r="W159" i="12"/>
  <c r="T161" i="12"/>
  <c r="U160" i="12"/>
  <c r="P162" i="12"/>
  <c r="Q161" i="12"/>
  <c r="R161" i="12"/>
  <c r="Y161" i="12" l="1"/>
  <c r="X161" i="12"/>
  <c r="AD160" i="12"/>
  <c r="AG160" i="12" s="1"/>
  <c r="T162" i="12"/>
  <c r="U161" i="12"/>
  <c r="P163" i="12"/>
  <c r="Q162" i="12"/>
  <c r="R162" i="12"/>
  <c r="W160" i="12"/>
  <c r="V161" i="12"/>
  <c r="A163" i="12"/>
  <c r="S162" i="12"/>
  <c r="B162" i="12"/>
  <c r="AI161" i="12"/>
  <c r="AK161" i="12"/>
  <c r="AB161" i="12"/>
  <c r="AF161" i="12" s="1"/>
  <c r="AA161" i="12"/>
  <c r="AC161" i="12"/>
  <c r="AJ161" i="12"/>
  <c r="X162" i="12" l="1"/>
  <c r="Y162" i="12"/>
  <c r="AI162" i="12"/>
  <c r="AD161" i="12"/>
  <c r="AG161" i="12" s="1"/>
  <c r="AJ162" i="12"/>
  <c r="AK162" i="12"/>
  <c r="AB162" i="12"/>
  <c r="AF162" i="12" s="1"/>
  <c r="AA162" i="12"/>
  <c r="AC162" i="12"/>
  <c r="P164" i="12"/>
  <c r="Q163" i="12"/>
  <c r="AI163" i="12" s="1"/>
  <c r="R163" i="12"/>
  <c r="T163" i="12"/>
  <c r="U162" i="12"/>
  <c r="B163" i="12"/>
  <c r="A164" i="12"/>
  <c r="S163" i="12"/>
  <c r="W161" i="12"/>
  <c r="V162" i="12"/>
  <c r="AD162" i="12" l="1"/>
  <c r="AG162" i="12" s="1"/>
  <c r="X163" i="12"/>
  <c r="Y163" i="12"/>
  <c r="V163" i="12"/>
  <c r="W162" i="12"/>
  <c r="T164" i="12"/>
  <c r="U163" i="12"/>
  <c r="AB163" i="12"/>
  <c r="AF163" i="12" s="1"/>
  <c r="AJ163" i="12"/>
  <c r="AC163" i="12"/>
  <c r="AA163" i="12"/>
  <c r="AK163" i="12"/>
  <c r="S164" i="12"/>
  <c r="B164" i="12"/>
  <c r="A165" i="12"/>
  <c r="P165" i="12"/>
  <c r="Q164" i="12"/>
  <c r="R164" i="12"/>
  <c r="AD163" i="12" l="1"/>
  <c r="AG163" i="12" s="1"/>
  <c r="AI164" i="12"/>
  <c r="X164" i="12"/>
  <c r="Y164" i="12"/>
  <c r="P166" i="12"/>
  <c r="Q165" i="12"/>
  <c r="R165" i="12"/>
  <c r="S165" i="12"/>
  <c r="B165" i="12"/>
  <c r="A166" i="12"/>
  <c r="AA164" i="12"/>
  <c r="AK164" i="12"/>
  <c r="AJ164" i="12"/>
  <c r="AC164" i="12"/>
  <c r="AB164" i="12"/>
  <c r="AF164" i="12" s="1"/>
  <c r="T165" i="12"/>
  <c r="U164" i="12"/>
  <c r="V164" i="12"/>
  <c r="W163" i="12"/>
  <c r="AI165" i="12" l="1"/>
  <c r="X165" i="12"/>
  <c r="Y165" i="12"/>
  <c r="AD164" i="12"/>
  <c r="AG164" i="12" s="1"/>
  <c r="W164" i="12"/>
  <c r="V165" i="12"/>
  <c r="T166" i="12"/>
  <c r="U166" i="12" s="1"/>
  <c r="U165" i="12"/>
  <c r="A167" i="12"/>
  <c r="S166" i="12"/>
  <c r="B166" i="12"/>
  <c r="AK165" i="12"/>
  <c r="AB165" i="12"/>
  <c r="AF165" i="12" s="1"/>
  <c r="AC165" i="12"/>
  <c r="AJ165" i="12"/>
  <c r="AA165" i="12"/>
  <c r="P167" i="12"/>
  <c r="Q166" i="12"/>
  <c r="R166" i="12"/>
  <c r="AD165" i="12" l="1"/>
  <c r="AG165" i="12" s="1"/>
  <c r="X166" i="12"/>
  <c r="Y166" i="12"/>
  <c r="AI166" i="12"/>
  <c r="P168" i="12"/>
  <c r="Q167" i="12"/>
  <c r="AI167" i="12" s="1"/>
  <c r="R167" i="12"/>
  <c r="AJ166" i="12"/>
  <c r="AK166" i="12"/>
  <c r="AB166" i="12"/>
  <c r="AF166" i="12" s="1"/>
  <c r="AA166" i="12"/>
  <c r="AC166" i="12"/>
  <c r="T167" i="12"/>
  <c r="W165" i="12"/>
  <c r="V166" i="12"/>
  <c r="B167" i="12"/>
  <c r="A168" i="12"/>
  <c r="S167" i="12"/>
  <c r="X167" i="12" l="1"/>
  <c r="Y167" i="12"/>
  <c r="AD166" i="12"/>
  <c r="AG166" i="12" s="1"/>
  <c r="AB167" i="12"/>
  <c r="AF167" i="12" s="1"/>
  <c r="AJ167" i="12"/>
  <c r="AC167" i="12"/>
  <c r="AA167" i="12"/>
  <c r="AK167" i="12"/>
  <c r="V167" i="12"/>
  <c r="W166" i="12"/>
  <c r="S168" i="12"/>
  <c r="B168" i="12"/>
  <c r="A169" i="12"/>
  <c r="T168" i="12"/>
  <c r="U167" i="12"/>
  <c r="P169" i="12"/>
  <c r="Q168" i="12"/>
  <c r="R168" i="12"/>
  <c r="AD167" i="12" l="1"/>
  <c r="AG167" i="12" s="1"/>
  <c r="X168" i="12"/>
  <c r="Y168" i="12"/>
  <c r="T169" i="12"/>
  <c r="S169" i="12"/>
  <c r="B169" i="12"/>
  <c r="A170" i="12"/>
  <c r="P170" i="12"/>
  <c r="Q169" i="12"/>
  <c r="R169" i="12"/>
  <c r="AA168" i="12"/>
  <c r="AK168" i="12"/>
  <c r="AJ168" i="12"/>
  <c r="AC168" i="12"/>
  <c r="AB168" i="12"/>
  <c r="AF168" i="12" s="1"/>
  <c r="V168" i="12"/>
  <c r="W167" i="12"/>
  <c r="U169" i="12"/>
  <c r="AI168" i="12"/>
  <c r="U168" i="12"/>
  <c r="Y169" i="12" l="1"/>
  <c r="X169" i="12"/>
  <c r="AI169" i="12"/>
  <c r="W168" i="12"/>
  <c r="V169" i="12"/>
  <c r="A171" i="12"/>
  <c r="S170" i="12"/>
  <c r="B170" i="12"/>
  <c r="P171" i="12"/>
  <c r="Q170" i="12"/>
  <c r="R170" i="12"/>
  <c r="AK169" i="12"/>
  <c r="AB169" i="12"/>
  <c r="AF169" i="12" s="1"/>
  <c r="AC169" i="12"/>
  <c r="AA169" i="12"/>
  <c r="AJ169" i="12"/>
  <c r="AD168" i="12"/>
  <c r="AG168" i="12" s="1"/>
  <c r="T170" i="12"/>
  <c r="X170" i="12" l="1"/>
  <c r="Y170" i="12"/>
  <c r="AI170" i="12"/>
  <c r="AD169" i="12"/>
  <c r="AG169" i="12" s="1"/>
  <c r="P172" i="12"/>
  <c r="Q171" i="12"/>
  <c r="R171" i="12"/>
  <c r="B171" i="12"/>
  <c r="A172" i="12"/>
  <c r="S171" i="12"/>
  <c r="T171" i="12"/>
  <c r="U171" i="12" s="1"/>
  <c r="U170" i="12"/>
  <c r="AJ170" i="12"/>
  <c r="AK170" i="12"/>
  <c r="AB170" i="12"/>
  <c r="AF170" i="12" s="1"/>
  <c r="AA170" i="12"/>
  <c r="AC170" i="12"/>
  <c r="W169" i="12"/>
  <c r="V170" i="12"/>
  <c r="AI171" i="12" l="1"/>
  <c r="X171" i="12"/>
  <c r="Y171" i="12"/>
  <c r="AD170" i="12"/>
  <c r="AG170" i="12" s="1"/>
  <c r="T172" i="12"/>
  <c r="AB171" i="12"/>
  <c r="AF171" i="12" s="1"/>
  <c r="AJ171" i="12"/>
  <c r="AC171" i="12"/>
  <c r="AK171" i="12"/>
  <c r="AA171" i="12"/>
  <c r="V171" i="12"/>
  <c r="W170" i="12"/>
  <c r="S172" i="12"/>
  <c r="B172" i="12"/>
  <c r="A173" i="12"/>
  <c r="P173" i="12"/>
  <c r="Q172" i="12"/>
  <c r="R172" i="12"/>
  <c r="X172" i="12" l="1"/>
  <c r="Y172" i="12"/>
  <c r="AD171" i="12"/>
  <c r="AG171" i="12" s="1"/>
  <c r="S173" i="12"/>
  <c r="B173" i="12"/>
  <c r="A174" i="12"/>
  <c r="V172" i="12"/>
  <c r="W171" i="12"/>
  <c r="P174" i="12"/>
  <c r="Q173" i="12"/>
  <c r="R173" i="12"/>
  <c r="AA172" i="12"/>
  <c r="AK172" i="12"/>
  <c r="AJ172" i="12"/>
  <c r="AC172" i="12"/>
  <c r="AB172" i="12"/>
  <c r="AF172" i="12" s="1"/>
  <c r="AI172" i="12"/>
  <c r="T173" i="12"/>
  <c r="U173" i="12" s="1"/>
  <c r="U172" i="12"/>
  <c r="X173" i="12" l="1"/>
  <c r="Y173" i="12"/>
  <c r="P175" i="12"/>
  <c r="Q174" i="12"/>
  <c r="R174" i="12"/>
  <c r="AI174" i="12" s="1"/>
  <c r="S174" i="12"/>
  <c r="A175" i="12"/>
  <c r="B174" i="12"/>
  <c r="AK173" i="12"/>
  <c r="AB173" i="12"/>
  <c r="AF173" i="12" s="1"/>
  <c r="AC173" i="12"/>
  <c r="AJ173" i="12"/>
  <c r="AA173" i="12"/>
  <c r="AD172" i="12"/>
  <c r="AG172" i="12" s="1"/>
  <c r="W172" i="12"/>
  <c r="V173" i="12"/>
  <c r="T174" i="12"/>
  <c r="AI173" i="12"/>
  <c r="X174" i="12" l="1"/>
  <c r="Y174" i="12"/>
  <c r="T175" i="12"/>
  <c r="U175" i="12" s="1"/>
  <c r="U174" i="12"/>
  <c r="W173" i="12"/>
  <c r="V174" i="12"/>
  <c r="AB174" i="12"/>
  <c r="AF174" i="12" s="1"/>
  <c r="AK174" i="12"/>
  <c r="AA174" i="12"/>
  <c r="AC174" i="12"/>
  <c r="AJ174" i="12"/>
  <c r="AD173" i="12"/>
  <c r="AG173" i="12" s="1"/>
  <c r="S175" i="12"/>
  <c r="B175" i="12"/>
  <c r="A176" i="12"/>
  <c r="P176" i="12"/>
  <c r="R175" i="12"/>
  <c r="Q175" i="12"/>
  <c r="AI175" i="12" l="1"/>
  <c r="X175" i="12"/>
  <c r="Y175" i="12"/>
  <c r="AD174" i="12"/>
  <c r="AG174" i="12" s="1"/>
  <c r="V175" i="12"/>
  <c r="W174" i="12"/>
  <c r="AB175" i="12"/>
  <c r="AF175" i="12" s="1"/>
  <c r="AK175" i="12"/>
  <c r="AJ175" i="12"/>
  <c r="AC175" i="12"/>
  <c r="AA175" i="12"/>
  <c r="P177" i="12"/>
  <c r="Q176" i="12"/>
  <c r="R176" i="12"/>
  <c r="A177" i="12"/>
  <c r="S176" i="12"/>
  <c r="B176" i="12"/>
  <c r="T176" i="12"/>
  <c r="X176" i="12" l="1"/>
  <c r="Y176" i="12"/>
  <c r="AI176" i="12"/>
  <c r="AD175" i="12"/>
  <c r="AG175" i="12" s="1"/>
  <c r="A178" i="12"/>
  <c r="S177" i="12"/>
  <c r="B177" i="12"/>
  <c r="AB176" i="12"/>
  <c r="AF176" i="12" s="1"/>
  <c r="AK176" i="12"/>
  <c r="AJ176" i="12"/>
  <c r="AC176" i="12"/>
  <c r="AA176" i="12"/>
  <c r="T177" i="12"/>
  <c r="U177" i="12" s="1"/>
  <c r="U176" i="12"/>
  <c r="Q177" i="12"/>
  <c r="P178" i="12"/>
  <c r="R177" i="12"/>
  <c r="W175" i="12"/>
  <c r="V176" i="12"/>
  <c r="Y177" i="12" l="1"/>
  <c r="X177" i="12"/>
  <c r="AD176" i="12"/>
  <c r="AG176" i="12" s="1"/>
  <c r="T178" i="12"/>
  <c r="AB177" i="12"/>
  <c r="AF177" i="12" s="1"/>
  <c r="AA177" i="12"/>
  <c r="AK177" i="12"/>
  <c r="AJ177" i="12"/>
  <c r="AC177" i="12"/>
  <c r="AD177" i="12" s="1"/>
  <c r="AG177" i="12" s="1"/>
  <c r="W176" i="12"/>
  <c r="V177" i="12"/>
  <c r="Q178" i="12"/>
  <c r="P179" i="12"/>
  <c r="R178" i="12"/>
  <c r="AI177" i="12"/>
  <c r="B178" i="12"/>
  <c r="A179" i="12"/>
  <c r="S178" i="12"/>
  <c r="X178" i="12" l="1"/>
  <c r="Y178" i="12"/>
  <c r="AB178" i="12"/>
  <c r="AJ178" i="12"/>
  <c r="AC178" i="12"/>
  <c r="AA178" i="12"/>
  <c r="AK178" i="12"/>
  <c r="AI178" i="12"/>
  <c r="V178" i="12"/>
  <c r="W177" i="12"/>
  <c r="S179" i="12"/>
  <c r="B179" i="12"/>
  <c r="A180" i="12"/>
  <c r="P180" i="12"/>
  <c r="R179" i="12"/>
  <c r="Q179" i="12"/>
  <c r="T179" i="12"/>
  <c r="U178" i="12"/>
  <c r="X179" i="12" l="1"/>
  <c r="Y179" i="12"/>
  <c r="AI179" i="12"/>
  <c r="A181" i="12"/>
  <c r="S180" i="12"/>
  <c r="B180" i="12"/>
  <c r="V179" i="12"/>
  <c r="W178" i="12"/>
  <c r="AB179" i="12"/>
  <c r="AF179" i="12" s="1"/>
  <c r="AK179" i="12"/>
  <c r="AJ179" i="12"/>
  <c r="AC179" i="12"/>
  <c r="AA179" i="12"/>
  <c r="T180" i="12"/>
  <c r="U179" i="12"/>
  <c r="P181" i="12"/>
  <c r="Q180" i="12"/>
  <c r="R180" i="12"/>
  <c r="AD178" i="12"/>
  <c r="AG178" i="12" s="1"/>
  <c r="AF178" i="12"/>
  <c r="X180" i="12" l="1"/>
  <c r="Y180" i="12"/>
  <c r="Q181" i="12"/>
  <c r="P182" i="12"/>
  <c r="R181" i="12"/>
  <c r="W179" i="12"/>
  <c r="V180" i="12"/>
  <c r="A182" i="12"/>
  <c r="S181" i="12"/>
  <c r="B181" i="12"/>
  <c r="T181" i="12"/>
  <c r="U180" i="12"/>
  <c r="AB180" i="12"/>
  <c r="AF180" i="12" s="1"/>
  <c r="AK180" i="12"/>
  <c r="AJ180" i="12"/>
  <c r="AC180" i="12"/>
  <c r="AA180" i="12"/>
  <c r="AI180" i="12"/>
  <c r="AD179" i="12"/>
  <c r="AG179" i="12" s="1"/>
  <c r="X181" i="12" l="1"/>
  <c r="Y181" i="12"/>
  <c r="AD180" i="12"/>
  <c r="AG180" i="12" s="1"/>
  <c r="T182" i="12"/>
  <c r="U181" i="12"/>
  <c r="B182" i="12"/>
  <c r="A183" i="12"/>
  <c r="S182" i="12"/>
  <c r="Q182" i="12"/>
  <c r="AI182" i="12" s="1"/>
  <c r="P183" i="12"/>
  <c r="R182" i="12"/>
  <c r="AB181" i="12"/>
  <c r="AA181" i="12"/>
  <c r="AK181" i="12"/>
  <c r="AJ181" i="12"/>
  <c r="AC181" i="12"/>
  <c r="W180" i="12"/>
  <c r="V181" i="12"/>
  <c r="AI181" i="12"/>
  <c r="X182" i="12" l="1"/>
  <c r="Y182" i="12"/>
  <c r="P184" i="12"/>
  <c r="R183" i="12"/>
  <c r="Q183" i="12"/>
  <c r="S183" i="12"/>
  <c r="B183" i="12"/>
  <c r="A184" i="12"/>
  <c r="V182" i="12"/>
  <c r="W181" i="12"/>
  <c r="AB182" i="12"/>
  <c r="AF182" i="12" s="1"/>
  <c r="AJ182" i="12"/>
  <c r="AC182" i="12"/>
  <c r="AA182" i="12"/>
  <c r="AK182" i="12"/>
  <c r="AD181" i="12"/>
  <c r="AG181" i="12" s="1"/>
  <c r="AF181" i="12"/>
  <c r="T183" i="12"/>
  <c r="U182" i="12"/>
  <c r="X183" i="12" l="1"/>
  <c r="Y183" i="12"/>
  <c r="V183" i="12"/>
  <c r="W182" i="12"/>
  <c r="T184" i="12"/>
  <c r="U183" i="12"/>
  <c r="AI183" i="12"/>
  <c r="S184" i="12"/>
  <c r="B184" i="12"/>
  <c r="A185" i="12"/>
  <c r="AD182" i="12"/>
  <c r="AG182" i="12" s="1"/>
  <c r="AB183" i="12"/>
  <c r="AF183" i="12" s="1"/>
  <c r="AK183" i="12"/>
  <c r="AJ183" i="12"/>
  <c r="AC183" i="12"/>
  <c r="AA183" i="12"/>
  <c r="P185" i="12"/>
  <c r="Q184" i="12"/>
  <c r="R184" i="12"/>
  <c r="AI184" i="12" l="1"/>
  <c r="X184" i="12"/>
  <c r="Y184" i="12"/>
  <c r="AD183" i="12"/>
  <c r="AG183" i="12" s="1"/>
  <c r="S185" i="12"/>
  <c r="A186" i="12"/>
  <c r="B185" i="12"/>
  <c r="T185" i="12"/>
  <c r="U184" i="12"/>
  <c r="P186" i="12"/>
  <c r="Q185" i="12"/>
  <c r="R185" i="12"/>
  <c r="AB184" i="12"/>
  <c r="AF184" i="12" s="1"/>
  <c r="AK184" i="12"/>
  <c r="AJ184" i="12"/>
  <c r="AC184" i="12"/>
  <c r="AA184" i="12"/>
  <c r="W183" i="12"/>
  <c r="V184" i="12"/>
  <c r="Y185" i="12" l="1"/>
  <c r="X185" i="12"/>
  <c r="AD184" i="12"/>
  <c r="AG184" i="12" s="1"/>
  <c r="W184" i="12"/>
  <c r="V185" i="12"/>
  <c r="T186" i="12"/>
  <c r="U186" i="12" s="1"/>
  <c r="U185" i="12"/>
  <c r="P187" i="12"/>
  <c r="R186" i="12"/>
  <c r="Q186" i="12"/>
  <c r="AA185" i="12"/>
  <c r="AK185" i="12"/>
  <c r="AB185" i="12"/>
  <c r="AF185" i="12" s="1"/>
  <c r="AC185" i="12"/>
  <c r="AJ185" i="12"/>
  <c r="AI185" i="12"/>
  <c r="S186" i="12"/>
  <c r="B186" i="12"/>
  <c r="A187" i="12"/>
  <c r="X186" i="12" l="1"/>
  <c r="Y186" i="12"/>
  <c r="AI186" i="12"/>
  <c r="AD185" i="12"/>
  <c r="AG185" i="12" s="1"/>
  <c r="P188" i="12"/>
  <c r="Q187" i="12"/>
  <c r="R187" i="12"/>
  <c r="AI187" i="12" s="1"/>
  <c r="V186" i="12"/>
  <c r="W185" i="12"/>
  <c r="S187" i="12"/>
  <c r="A188" i="12"/>
  <c r="B187" i="12"/>
  <c r="AA186" i="12"/>
  <c r="AB186" i="12"/>
  <c r="AF186" i="12" s="1"/>
  <c r="AJ186" i="12"/>
  <c r="AK186" i="12"/>
  <c r="AC186" i="12"/>
  <c r="T187" i="12"/>
  <c r="AD186" i="12" l="1"/>
  <c r="AG186" i="12" s="1"/>
  <c r="X187" i="12"/>
  <c r="Y187" i="12"/>
  <c r="T188" i="12"/>
  <c r="U188" i="12" s="1"/>
  <c r="U187" i="12"/>
  <c r="S188" i="12"/>
  <c r="B188" i="12"/>
  <c r="A189" i="12"/>
  <c r="W186" i="12"/>
  <c r="V187" i="12"/>
  <c r="AA187" i="12"/>
  <c r="AK187" i="12"/>
  <c r="AB187" i="12"/>
  <c r="AF187" i="12" s="1"/>
  <c r="AC187" i="12"/>
  <c r="AJ187" i="12"/>
  <c r="P189" i="12"/>
  <c r="R188" i="12"/>
  <c r="Q188" i="12"/>
  <c r="X188" i="12" l="1"/>
  <c r="Y188" i="12"/>
  <c r="V188" i="12"/>
  <c r="W187" i="12"/>
  <c r="AA188" i="12"/>
  <c r="AJ188" i="12"/>
  <c r="AB188" i="12"/>
  <c r="AF188" i="12" s="1"/>
  <c r="AC188" i="12"/>
  <c r="AK188" i="12"/>
  <c r="T189" i="12"/>
  <c r="P190" i="12"/>
  <c r="Q189" i="12"/>
  <c r="R189" i="12"/>
  <c r="AD187" i="12"/>
  <c r="AG187" i="12" s="1"/>
  <c r="AI188" i="12"/>
  <c r="S189" i="12"/>
  <c r="A190" i="12"/>
  <c r="B189" i="12"/>
  <c r="X189" i="12" l="1"/>
  <c r="Y189" i="12"/>
  <c r="AI189" i="12"/>
  <c r="AD188" i="12"/>
  <c r="AG188" i="12" s="1"/>
  <c r="S190" i="12"/>
  <c r="B190" i="12"/>
  <c r="A191" i="12"/>
  <c r="P191" i="12"/>
  <c r="R190" i="12"/>
  <c r="AI190" i="12" s="1"/>
  <c r="Q190" i="12"/>
  <c r="T190" i="12"/>
  <c r="U189" i="12"/>
  <c r="AJ189" i="12"/>
  <c r="AB189" i="12"/>
  <c r="AF189" i="12" s="1"/>
  <c r="AC189" i="12"/>
  <c r="AK189" i="12"/>
  <c r="AA189" i="12"/>
  <c r="W188" i="12"/>
  <c r="V189" i="12"/>
  <c r="X190" i="12" l="1"/>
  <c r="Y190" i="12"/>
  <c r="V190" i="12"/>
  <c r="W189" i="12"/>
  <c r="AD189" i="12"/>
  <c r="AG189" i="12" s="1"/>
  <c r="A192" i="12"/>
  <c r="S191" i="12"/>
  <c r="B191" i="12"/>
  <c r="AK190" i="12"/>
  <c r="AA190" i="12"/>
  <c r="AC190" i="12"/>
  <c r="AB190" i="12"/>
  <c r="AF190" i="12" s="1"/>
  <c r="AJ190" i="12"/>
  <c r="T191" i="12"/>
  <c r="U191" i="12" s="1"/>
  <c r="U190" i="12"/>
  <c r="P192" i="12"/>
  <c r="Q191" i="12"/>
  <c r="R191" i="12"/>
  <c r="X191" i="12" l="1"/>
  <c r="Y191" i="12"/>
  <c r="AD190" i="12"/>
  <c r="AG190" i="12" s="1"/>
  <c r="AI191" i="12"/>
  <c r="W190" i="12"/>
  <c r="V191" i="12"/>
  <c r="AK191" i="12"/>
  <c r="AJ191" i="12"/>
  <c r="AC191" i="12"/>
  <c r="AA191" i="12"/>
  <c r="AB191" i="12"/>
  <c r="AF191" i="12" s="1"/>
  <c r="T192" i="12"/>
  <c r="Q192" i="12"/>
  <c r="P193" i="12"/>
  <c r="R192" i="12"/>
  <c r="B192" i="12"/>
  <c r="A193" i="12"/>
  <c r="S192" i="12"/>
  <c r="X192" i="12" l="1"/>
  <c r="Y192" i="12"/>
  <c r="T193" i="12"/>
  <c r="U192" i="12"/>
  <c r="S193" i="12"/>
  <c r="B193" i="12"/>
  <c r="A194" i="12"/>
  <c r="P194" i="12"/>
  <c r="R193" i="12"/>
  <c r="Q193" i="12"/>
  <c r="V192" i="12"/>
  <c r="W191" i="12"/>
  <c r="AJ192" i="12"/>
  <c r="AK192" i="12"/>
  <c r="AC192" i="12"/>
  <c r="AB192" i="12"/>
  <c r="AF192" i="12" s="1"/>
  <c r="AA192" i="12"/>
  <c r="AI192" i="12"/>
  <c r="AD191" i="12"/>
  <c r="AG191" i="12" s="1"/>
  <c r="AI193" i="12" l="1"/>
  <c r="Y193" i="12"/>
  <c r="X193" i="12"/>
  <c r="AD192" i="12"/>
  <c r="AG192" i="12" s="1"/>
  <c r="V193" i="12"/>
  <c r="W192" i="12"/>
  <c r="P195" i="12"/>
  <c r="Q194" i="12"/>
  <c r="R194" i="12"/>
  <c r="A195" i="12"/>
  <c r="S194" i="12"/>
  <c r="B194" i="12"/>
  <c r="T194" i="12"/>
  <c r="U193" i="12"/>
  <c r="U194" i="12"/>
  <c r="AK193" i="12"/>
  <c r="AC193" i="12"/>
  <c r="AB193" i="12"/>
  <c r="AF193" i="12" s="1"/>
  <c r="AA193" i="12"/>
  <c r="AJ193" i="12"/>
  <c r="X194" i="12" l="1"/>
  <c r="Y194" i="12"/>
  <c r="AI194" i="12"/>
  <c r="A196" i="12"/>
  <c r="S195" i="12"/>
  <c r="B195" i="12"/>
  <c r="Q195" i="12"/>
  <c r="P196" i="12"/>
  <c r="R195" i="12"/>
  <c r="AD193" i="12"/>
  <c r="AG193" i="12" s="1"/>
  <c r="AA194" i="12"/>
  <c r="AC194" i="12"/>
  <c r="AB194" i="12"/>
  <c r="AF194" i="12" s="1"/>
  <c r="AK194" i="12"/>
  <c r="AJ194" i="12"/>
  <c r="W193" i="12"/>
  <c r="V194" i="12"/>
  <c r="T195" i="12"/>
  <c r="AI195" i="12"/>
  <c r="Y195" i="12" l="1"/>
  <c r="X195" i="12"/>
  <c r="W194" i="12"/>
  <c r="V195" i="12"/>
  <c r="AD194" i="12"/>
  <c r="AG194" i="12" s="1"/>
  <c r="Q196" i="12"/>
  <c r="P197" i="12"/>
  <c r="R196" i="12"/>
  <c r="A197" i="12"/>
  <c r="S196" i="12"/>
  <c r="B196" i="12"/>
  <c r="T196" i="12"/>
  <c r="U196" i="12" s="1"/>
  <c r="AJ195" i="12"/>
  <c r="AB195" i="12"/>
  <c r="AA195" i="12"/>
  <c r="AC195" i="12"/>
  <c r="AK195" i="12"/>
  <c r="U195" i="12"/>
  <c r="X196" i="12" l="1"/>
  <c r="Y196" i="12"/>
  <c r="AI196" i="12"/>
  <c r="AK196" i="12"/>
  <c r="AB196" i="12"/>
  <c r="AF196" i="12" s="1"/>
  <c r="AJ196" i="12"/>
  <c r="AA196" i="12"/>
  <c r="AC196" i="12"/>
  <c r="AD196" i="12" s="1"/>
  <c r="AG196" i="12" s="1"/>
  <c r="V196" i="12"/>
  <c r="W195" i="12"/>
  <c r="AD195" i="12"/>
  <c r="AG195" i="12" s="1"/>
  <c r="AF195" i="12"/>
  <c r="T197" i="12"/>
  <c r="U197" i="12" s="1"/>
  <c r="Q197" i="12"/>
  <c r="P198" i="12"/>
  <c r="R197" i="12"/>
  <c r="B197" i="12"/>
  <c r="A198" i="12"/>
  <c r="S197" i="12"/>
  <c r="Y197" i="12" l="1"/>
  <c r="X197" i="12"/>
  <c r="S198" i="12"/>
  <c r="B198" i="12"/>
  <c r="A199" i="12"/>
  <c r="AI197" i="12"/>
  <c r="AJ197" i="12"/>
  <c r="AB197" i="12"/>
  <c r="AC197" i="12"/>
  <c r="AK197" i="12"/>
  <c r="AA197" i="12"/>
  <c r="T198" i="12"/>
  <c r="U198" i="12" s="1"/>
  <c r="P199" i="12"/>
  <c r="Q198" i="12"/>
  <c r="R198" i="12"/>
  <c r="V197" i="12"/>
  <c r="W196" i="12"/>
  <c r="X198" i="12" l="1"/>
  <c r="Y198" i="12"/>
  <c r="AD197" i="12"/>
  <c r="AG197" i="12" s="1"/>
  <c r="AF197" i="12"/>
  <c r="A200" i="12"/>
  <c r="S199" i="12"/>
  <c r="B199" i="12"/>
  <c r="P200" i="12"/>
  <c r="R199" i="12"/>
  <c r="Q199" i="12"/>
  <c r="AA198" i="12"/>
  <c r="AK198" i="12"/>
  <c r="AJ198" i="12"/>
  <c r="AC198" i="12"/>
  <c r="AB198" i="12"/>
  <c r="AF198" i="12" s="1"/>
  <c r="V198" i="12"/>
  <c r="W197" i="12"/>
  <c r="T199" i="12"/>
  <c r="AI198" i="12"/>
  <c r="Y199" i="12" l="1"/>
  <c r="X199" i="12"/>
  <c r="T200" i="12"/>
  <c r="U200" i="12" s="1"/>
  <c r="AD198" i="12"/>
  <c r="AG198" i="12" s="1"/>
  <c r="AC199" i="12"/>
  <c r="AB199" i="12"/>
  <c r="AF199" i="12" s="1"/>
  <c r="AK199" i="12"/>
  <c r="AJ199" i="12"/>
  <c r="AA199" i="12"/>
  <c r="W198" i="12"/>
  <c r="V199" i="12"/>
  <c r="Q200" i="12"/>
  <c r="P201" i="12"/>
  <c r="R200" i="12"/>
  <c r="U199" i="12"/>
  <c r="AI199" i="12"/>
  <c r="A201" i="12"/>
  <c r="S200" i="12"/>
  <c r="B200" i="12"/>
  <c r="X200" i="12" l="1"/>
  <c r="Y200" i="12"/>
  <c r="B201" i="12"/>
  <c r="A202" i="12"/>
  <c r="S201" i="12"/>
  <c r="AA200" i="12"/>
  <c r="AK200" i="12"/>
  <c r="AJ200" i="12"/>
  <c r="AC200" i="12"/>
  <c r="AB200" i="12"/>
  <c r="AF200" i="12" s="1"/>
  <c r="AI200" i="12"/>
  <c r="W199" i="12"/>
  <c r="V200" i="12"/>
  <c r="Q201" i="12"/>
  <c r="P202" i="12"/>
  <c r="R201" i="12"/>
  <c r="T201" i="12"/>
  <c r="AD199" i="12"/>
  <c r="AG199" i="12" s="1"/>
  <c r="Y201" i="12" l="1"/>
  <c r="X201" i="12"/>
  <c r="AD200" i="12"/>
  <c r="AG200" i="12" s="1"/>
  <c r="V201" i="12"/>
  <c r="W200" i="12"/>
  <c r="P203" i="12"/>
  <c r="Q202" i="12"/>
  <c r="R202" i="12"/>
  <c r="T202" i="12"/>
  <c r="U202" i="12" s="1"/>
  <c r="U201" i="12"/>
  <c r="AI201" i="12"/>
  <c r="S202" i="12"/>
  <c r="B202" i="12"/>
  <c r="A203" i="12"/>
  <c r="AC201" i="12"/>
  <c r="AJ201" i="12"/>
  <c r="AA201" i="12"/>
  <c r="AK201" i="12"/>
  <c r="AB201" i="12"/>
  <c r="AF201" i="12" s="1"/>
  <c r="X202" i="12" l="1"/>
  <c r="Y202" i="12"/>
  <c r="AI202" i="12"/>
  <c r="AB202" i="12"/>
  <c r="AF202" i="12" s="1"/>
  <c r="AK202" i="12"/>
  <c r="AJ202" i="12"/>
  <c r="AC202" i="12"/>
  <c r="AA202" i="12"/>
  <c r="T203" i="12"/>
  <c r="P204" i="12"/>
  <c r="R203" i="12"/>
  <c r="Q203" i="12"/>
  <c r="AI203" i="12" s="1"/>
  <c r="AD201" i="12"/>
  <c r="AG201" i="12" s="1"/>
  <c r="V202" i="12"/>
  <c r="W201" i="12"/>
  <c r="A204" i="12"/>
  <c r="S203" i="12"/>
  <c r="B203" i="12"/>
  <c r="Y203" i="12" l="1"/>
  <c r="X203" i="12"/>
  <c r="AD202" i="12"/>
  <c r="AG202" i="12" s="1"/>
  <c r="W202" i="12"/>
  <c r="V203" i="12"/>
  <c r="AB203" i="12"/>
  <c r="AF203" i="12" s="1"/>
  <c r="AK203" i="12"/>
  <c r="AJ203" i="12"/>
  <c r="AC203" i="12"/>
  <c r="AA203" i="12"/>
  <c r="A205" i="12"/>
  <c r="S204" i="12"/>
  <c r="B204" i="12"/>
  <c r="Q204" i="12"/>
  <c r="AI204" i="12" s="1"/>
  <c r="P205" i="12"/>
  <c r="R204" i="12"/>
  <c r="T204" i="12"/>
  <c r="U203" i="12"/>
  <c r="X204" i="12" l="1"/>
  <c r="Y204" i="12"/>
  <c r="T205" i="12"/>
  <c r="U205" i="12" s="1"/>
  <c r="U204" i="12"/>
  <c r="AD203" i="12"/>
  <c r="AG203" i="12" s="1"/>
  <c r="Q205" i="12"/>
  <c r="P206" i="12"/>
  <c r="R205" i="12"/>
  <c r="W203" i="12"/>
  <c r="V204" i="12"/>
  <c r="AB204" i="12"/>
  <c r="AF204" i="12" s="1"/>
  <c r="AA204" i="12"/>
  <c r="AK204" i="12"/>
  <c r="AJ204" i="12"/>
  <c r="AC204" i="12"/>
  <c r="AD204" i="12" s="1"/>
  <c r="AG204" i="12" s="1"/>
  <c r="B205" i="12"/>
  <c r="A206" i="12"/>
  <c r="S205" i="12"/>
  <c r="AI205" i="12" l="1"/>
  <c r="Y205" i="12"/>
  <c r="X205" i="12"/>
  <c r="P207" i="12"/>
  <c r="Q206" i="12"/>
  <c r="R206" i="12"/>
  <c r="AI206" i="12" s="1"/>
  <c r="S206" i="12"/>
  <c r="B206" i="12"/>
  <c r="A207" i="12"/>
  <c r="AB205" i="12"/>
  <c r="AF205" i="12" s="1"/>
  <c r="AJ205" i="12"/>
  <c r="AC205" i="12"/>
  <c r="AA205" i="12"/>
  <c r="AK205" i="12"/>
  <c r="V205" i="12"/>
  <c r="W204" i="12"/>
  <c r="T206" i="12"/>
  <c r="X206" i="12" l="1"/>
  <c r="Y206" i="12"/>
  <c r="AD205" i="12"/>
  <c r="AG205" i="12" s="1"/>
  <c r="S207" i="12"/>
  <c r="B207" i="12"/>
  <c r="A208" i="12"/>
  <c r="T207" i="12"/>
  <c r="U207" i="12" s="1"/>
  <c r="U206" i="12"/>
  <c r="V206" i="12"/>
  <c r="W205" i="12"/>
  <c r="AB206" i="12"/>
  <c r="AF206" i="12" s="1"/>
  <c r="AK206" i="12"/>
  <c r="AJ206" i="12"/>
  <c r="AC206" i="12"/>
  <c r="AA206" i="12"/>
  <c r="P208" i="12"/>
  <c r="R207" i="12"/>
  <c r="Q207" i="12"/>
  <c r="Y207" i="12" l="1"/>
  <c r="X207" i="12"/>
  <c r="AD206" i="12"/>
  <c r="AG206" i="12" s="1"/>
  <c r="AB207" i="12"/>
  <c r="AF207" i="12" s="1"/>
  <c r="AK207" i="12"/>
  <c r="AJ207" i="12"/>
  <c r="AC207" i="12"/>
  <c r="AA207" i="12"/>
  <c r="T208" i="12"/>
  <c r="U208" i="12" s="1"/>
  <c r="W206" i="12"/>
  <c r="V207" i="12"/>
  <c r="AI207" i="12"/>
  <c r="R208" i="12"/>
  <c r="P209" i="12"/>
  <c r="Q208" i="12"/>
  <c r="S208" i="12"/>
  <c r="A209" i="12"/>
  <c r="B208" i="12"/>
  <c r="X208" i="12" l="1"/>
  <c r="Y208" i="12"/>
  <c r="AI208" i="12"/>
  <c r="AD207" i="12"/>
  <c r="AG207" i="12" s="1"/>
  <c r="AA208" i="12"/>
  <c r="AK208" i="12"/>
  <c r="AB208" i="12"/>
  <c r="AF208" i="12" s="1"/>
  <c r="AC208" i="12"/>
  <c r="AJ208" i="12"/>
  <c r="T209" i="12"/>
  <c r="S209" i="12"/>
  <c r="B209" i="12"/>
  <c r="A210" i="12"/>
  <c r="U209" i="12"/>
  <c r="P210" i="12"/>
  <c r="Q209" i="12"/>
  <c r="R209" i="12"/>
  <c r="W207" i="12"/>
  <c r="V208" i="12"/>
  <c r="Y209" i="12" l="1"/>
  <c r="X209" i="12"/>
  <c r="AD208" i="12"/>
  <c r="AG208" i="12" s="1"/>
  <c r="AI209" i="12"/>
  <c r="T210" i="12"/>
  <c r="U210" i="12" s="1"/>
  <c r="AA209" i="12"/>
  <c r="AK209" i="12"/>
  <c r="AB209" i="12"/>
  <c r="AF209" i="12" s="1"/>
  <c r="AC209" i="12"/>
  <c r="AJ209" i="12"/>
  <c r="V209" i="12"/>
  <c r="W208" i="12"/>
  <c r="R210" i="12"/>
  <c r="P211" i="12"/>
  <c r="Q210" i="12"/>
  <c r="S210" i="12"/>
  <c r="A211" i="12"/>
  <c r="B210" i="12"/>
  <c r="X210" i="12" l="1"/>
  <c r="Y210" i="12"/>
  <c r="AD209" i="12"/>
  <c r="AG209" i="12" s="1"/>
  <c r="S211" i="12"/>
  <c r="B211" i="12"/>
  <c r="A212" i="12"/>
  <c r="AA210" i="12"/>
  <c r="AK210" i="12"/>
  <c r="AB210" i="12"/>
  <c r="AF210" i="12" s="1"/>
  <c r="AC210" i="12"/>
  <c r="AJ210" i="12"/>
  <c r="W209" i="12"/>
  <c r="V210" i="12"/>
  <c r="T211" i="12"/>
  <c r="P212" i="12"/>
  <c r="Q211" i="12"/>
  <c r="R211" i="12"/>
  <c r="AI210" i="12"/>
  <c r="Y211" i="12" l="1"/>
  <c r="X211" i="12"/>
  <c r="AD210" i="12"/>
  <c r="AG210" i="12" s="1"/>
  <c r="V211" i="12"/>
  <c r="W210" i="12"/>
  <c r="S212" i="12"/>
  <c r="A213" i="12"/>
  <c r="B212" i="12"/>
  <c r="R212" i="12"/>
  <c r="P213" i="12"/>
  <c r="Q212" i="12"/>
  <c r="T212" i="12"/>
  <c r="U211" i="12"/>
  <c r="AI211" i="12"/>
  <c r="AA211" i="12"/>
  <c r="AK211" i="12"/>
  <c r="AB211" i="12"/>
  <c r="AF211" i="12" s="1"/>
  <c r="AC211" i="12"/>
  <c r="AJ211" i="12"/>
  <c r="X212" i="12" l="1"/>
  <c r="Y212" i="12"/>
  <c r="AI212" i="12"/>
  <c r="AD211" i="12"/>
  <c r="AG211" i="12" s="1"/>
  <c r="T213" i="12"/>
  <c r="U212" i="12"/>
  <c r="AA212" i="12"/>
  <c r="AK212" i="12"/>
  <c r="AB212" i="12"/>
  <c r="AF212" i="12" s="1"/>
  <c r="AC212" i="12"/>
  <c r="AJ212" i="12"/>
  <c r="S213" i="12"/>
  <c r="B213" i="12"/>
  <c r="A214" i="12"/>
  <c r="P214" i="12"/>
  <c r="Q213" i="12"/>
  <c r="R213" i="12"/>
  <c r="W211" i="12"/>
  <c r="V212" i="12"/>
  <c r="Y213" i="12" l="1"/>
  <c r="X213" i="12"/>
  <c r="AI213" i="12"/>
  <c r="AD212" i="12"/>
  <c r="AG212" i="12" s="1"/>
  <c r="V213" i="12"/>
  <c r="W212" i="12"/>
  <c r="T214" i="12"/>
  <c r="U213" i="12"/>
  <c r="AB213" i="12"/>
  <c r="AF213" i="12" s="1"/>
  <c r="AA213" i="12"/>
  <c r="AC213" i="12"/>
  <c r="AJ213" i="12"/>
  <c r="AK213" i="12"/>
  <c r="A215" i="12"/>
  <c r="S214" i="12"/>
  <c r="B214" i="12"/>
  <c r="P215" i="12"/>
  <c r="R214" i="12"/>
  <c r="Q214" i="12"/>
  <c r="AI214" i="12" s="1"/>
  <c r="X214" i="12" l="1"/>
  <c r="Y214" i="12"/>
  <c r="AD213" i="12"/>
  <c r="AG213" i="12" s="1"/>
  <c r="T215" i="12"/>
  <c r="U214" i="12"/>
  <c r="U215" i="12"/>
  <c r="AK214" i="12"/>
  <c r="AA214" i="12"/>
  <c r="AC214" i="12"/>
  <c r="AJ214" i="12"/>
  <c r="AB214" i="12"/>
  <c r="AF214" i="12" s="1"/>
  <c r="Q215" i="12"/>
  <c r="P216" i="12"/>
  <c r="R215" i="12"/>
  <c r="A216" i="12"/>
  <c r="S215" i="12"/>
  <c r="B215" i="12"/>
  <c r="W213" i="12"/>
  <c r="V214" i="12"/>
  <c r="Y215" i="12" l="1"/>
  <c r="X215" i="12"/>
  <c r="P217" i="12"/>
  <c r="Q216" i="12"/>
  <c r="R216" i="12"/>
  <c r="AI215" i="12"/>
  <c r="AK215" i="12"/>
  <c r="AA215" i="12"/>
  <c r="AJ215" i="12"/>
  <c r="AC215" i="12"/>
  <c r="AB215" i="12"/>
  <c r="AF215" i="12" s="1"/>
  <c r="W214" i="12"/>
  <c r="V215" i="12"/>
  <c r="S216" i="12"/>
  <c r="B216" i="12"/>
  <c r="A217" i="12"/>
  <c r="AD214" i="12"/>
  <c r="AG214" i="12" s="1"/>
  <c r="T216" i="12"/>
  <c r="X216" i="12" l="1"/>
  <c r="Y216" i="12"/>
  <c r="AI216" i="12"/>
  <c r="AK216" i="12"/>
  <c r="AC216" i="12"/>
  <c r="AA216" i="12"/>
  <c r="AB216" i="12"/>
  <c r="AF216" i="12" s="1"/>
  <c r="AJ216" i="12"/>
  <c r="V216" i="12"/>
  <c r="W215" i="12"/>
  <c r="T217" i="12"/>
  <c r="U216" i="12"/>
  <c r="A218" i="12"/>
  <c r="S217" i="12"/>
  <c r="B217" i="12"/>
  <c r="AD215" i="12"/>
  <c r="AG215" i="12" s="1"/>
  <c r="P218" i="12"/>
  <c r="R217" i="12"/>
  <c r="Q217" i="12"/>
  <c r="Y217" i="12" l="1"/>
  <c r="X217" i="12"/>
  <c r="T218" i="12"/>
  <c r="U217" i="12"/>
  <c r="AI217" i="12"/>
  <c r="AK217" i="12"/>
  <c r="AJ217" i="12"/>
  <c r="AC217" i="12"/>
  <c r="AA217" i="12"/>
  <c r="AB217" i="12"/>
  <c r="AF217" i="12" s="1"/>
  <c r="Q218" i="12"/>
  <c r="P219" i="12"/>
  <c r="R218" i="12"/>
  <c r="B218" i="12"/>
  <c r="A219" i="12"/>
  <c r="S218" i="12"/>
  <c r="W216" i="12"/>
  <c r="V217" i="12"/>
  <c r="AD216" i="12"/>
  <c r="AG216" i="12" s="1"/>
  <c r="X218" i="12" l="1"/>
  <c r="Y218" i="12"/>
  <c r="AJ218" i="12"/>
  <c r="AA218" i="12"/>
  <c r="AC218" i="12"/>
  <c r="AK218" i="12"/>
  <c r="AB218" i="12"/>
  <c r="AF218" i="12" s="1"/>
  <c r="T219" i="12"/>
  <c r="U218" i="12"/>
  <c r="Q219" i="12"/>
  <c r="AI219" i="12" s="1"/>
  <c r="P220" i="12"/>
  <c r="R219" i="12"/>
  <c r="AD217" i="12"/>
  <c r="AG217" i="12" s="1"/>
  <c r="V218" i="12"/>
  <c r="W217" i="12"/>
  <c r="S219" i="12"/>
  <c r="B219" i="12"/>
  <c r="A220" i="12"/>
  <c r="AI218" i="12"/>
  <c r="Y219" i="12" l="1"/>
  <c r="X219" i="12"/>
  <c r="AD218" i="12"/>
  <c r="AG218" i="12" s="1"/>
  <c r="AA219" i="12"/>
  <c r="AK219" i="12"/>
  <c r="AJ219" i="12"/>
  <c r="AC219" i="12"/>
  <c r="AB219" i="12"/>
  <c r="AF219" i="12" s="1"/>
  <c r="Q220" i="12"/>
  <c r="P221" i="12"/>
  <c r="R220" i="12"/>
  <c r="T220" i="12"/>
  <c r="U220" i="12" s="1"/>
  <c r="S220" i="12"/>
  <c r="B220" i="12"/>
  <c r="A221" i="12"/>
  <c r="V219" i="12"/>
  <c r="W218" i="12"/>
  <c r="U219" i="12"/>
  <c r="AI220" i="12" l="1"/>
  <c r="X220" i="12"/>
  <c r="Y220" i="12"/>
  <c r="AA220" i="12"/>
  <c r="AC220" i="12"/>
  <c r="AB220" i="12"/>
  <c r="AF220" i="12" s="1"/>
  <c r="AK220" i="12"/>
  <c r="AJ220" i="12"/>
  <c r="Q221" i="12"/>
  <c r="P222" i="12"/>
  <c r="R221" i="12"/>
  <c r="AI221" i="12" s="1"/>
  <c r="W219" i="12"/>
  <c r="V220" i="12"/>
  <c r="T221" i="12"/>
  <c r="S221" i="12"/>
  <c r="B221" i="12"/>
  <c r="A222" i="12"/>
  <c r="AD219" i="12"/>
  <c r="AG219" i="12" s="1"/>
  <c r="Y221" i="12" l="1"/>
  <c r="X221" i="12"/>
  <c r="AD220" i="12"/>
  <c r="AG220" i="12" s="1"/>
  <c r="AA221" i="12"/>
  <c r="AK221" i="12"/>
  <c r="AJ221" i="12"/>
  <c r="AC221" i="12"/>
  <c r="AB221" i="12"/>
  <c r="AF221" i="12" s="1"/>
  <c r="T222" i="12"/>
  <c r="U221" i="12"/>
  <c r="Q222" i="12"/>
  <c r="P223" i="12"/>
  <c r="R222" i="12"/>
  <c r="S222" i="12"/>
  <c r="B222" i="12"/>
  <c r="A223" i="12"/>
  <c r="W220" i="12"/>
  <c r="V221" i="12"/>
  <c r="AI222" i="12"/>
  <c r="X222" i="12" l="1"/>
  <c r="Y222" i="12"/>
  <c r="A224" i="12"/>
  <c r="S223" i="12"/>
  <c r="B223" i="12"/>
  <c r="P224" i="12"/>
  <c r="Q223" i="12"/>
  <c r="R223" i="12"/>
  <c r="W221" i="12"/>
  <c r="V222" i="12"/>
  <c r="AA222" i="12"/>
  <c r="AC222" i="12"/>
  <c r="AB222" i="12"/>
  <c r="AF222" i="12" s="1"/>
  <c r="AK222" i="12"/>
  <c r="AJ222" i="12"/>
  <c r="AI223" i="12"/>
  <c r="AD221" i="12"/>
  <c r="AG221" i="12" s="1"/>
  <c r="T223" i="12"/>
  <c r="U222" i="12"/>
  <c r="Y223" i="12" l="1"/>
  <c r="X223" i="12"/>
  <c r="AD222" i="12"/>
  <c r="AG222" i="12" s="1"/>
  <c r="AC223" i="12"/>
  <c r="AK223" i="12"/>
  <c r="AJ223" i="12"/>
  <c r="AA223" i="12"/>
  <c r="AB223" i="12"/>
  <c r="AF223" i="12" s="1"/>
  <c r="T224" i="12"/>
  <c r="U224" i="12" s="1"/>
  <c r="U223" i="12"/>
  <c r="W222" i="12"/>
  <c r="V223" i="12"/>
  <c r="Q224" i="12"/>
  <c r="P225" i="12"/>
  <c r="R224" i="12"/>
  <c r="A225" i="12"/>
  <c r="S224" i="12"/>
  <c r="B224" i="12"/>
  <c r="X224" i="12" l="1"/>
  <c r="Y224" i="12"/>
  <c r="Q225" i="12"/>
  <c r="P226" i="12"/>
  <c r="R225" i="12"/>
  <c r="T225" i="12"/>
  <c r="AB224" i="12"/>
  <c r="AF224" i="12" s="1"/>
  <c r="AA224" i="12"/>
  <c r="AK224" i="12"/>
  <c r="AJ224" i="12"/>
  <c r="AC224" i="12"/>
  <c r="B225" i="12"/>
  <c r="A226" i="12"/>
  <c r="S225" i="12"/>
  <c r="W223" i="12"/>
  <c r="V224" i="12"/>
  <c r="AI224" i="12"/>
  <c r="AD223" i="12"/>
  <c r="AG223" i="12" s="1"/>
  <c r="Y225" i="12" l="1"/>
  <c r="X225" i="12"/>
  <c r="AI225" i="12"/>
  <c r="AD224" i="12"/>
  <c r="AG224" i="12" s="1"/>
  <c r="V225" i="12"/>
  <c r="W224" i="12"/>
  <c r="S226" i="12"/>
  <c r="B226" i="12"/>
  <c r="A227" i="12"/>
  <c r="AB225" i="12"/>
  <c r="AF225" i="12" s="1"/>
  <c r="AJ225" i="12"/>
  <c r="AC225" i="12"/>
  <c r="AA225" i="12"/>
  <c r="AK225" i="12"/>
  <c r="P227" i="12"/>
  <c r="Q226" i="12"/>
  <c r="R226" i="12"/>
  <c r="T226" i="12"/>
  <c r="U225" i="12"/>
  <c r="AI226" i="12"/>
  <c r="X226" i="12" l="1"/>
  <c r="Y226" i="12"/>
  <c r="AD225" i="12"/>
  <c r="AG225" i="12" s="1"/>
  <c r="A228" i="12"/>
  <c r="S227" i="12"/>
  <c r="B227" i="12"/>
  <c r="V226" i="12"/>
  <c r="W225" i="12"/>
  <c r="T227" i="12"/>
  <c r="P228" i="12"/>
  <c r="Q227" i="12"/>
  <c r="R227" i="12"/>
  <c r="AB226" i="12"/>
  <c r="AF226" i="12" s="1"/>
  <c r="AK226" i="12"/>
  <c r="AJ226" i="12"/>
  <c r="AC226" i="12"/>
  <c r="AA226" i="12"/>
  <c r="U226" i="12"/>
  <c r="Y227" i="12" l="1"/>
  <c r="X227" i="12"/>
  <c r="AD226" i="12"/>
  <c r="AG226" i="12" s="1"/>
  <c r="W226" i="12"/>
  <c r="V227" i="12"/>
  <c r="A229" i="12"/>
  <c r="S228" i="12"/>
  <c r="B228" i="12"/>
  <c r="AB227" i="12"/>
  <c r="AF227" i="12" s="1"/>
  <c r="AK227" i="12"/>
  <c r="AJ227" i="12"/>
  <c r="AC227" i="12"/>
  <c r="AA227" i="12"/>
  <c r="T228" i="12"/>
  <c r="AI227" i="12"/>
  <c r="Q228" i="12"/>
  <c r="P229" i="12"/>
  <c r="R228" i="12"/>
  <c r="U227" i="12"/>
  <c r="X228" i="12" l="1"/>
  <c r="Y228" i="12"/>
  <c r="AD227" i="12"/>
  <c r="AG227" i="12" s="1"/>
  <c r="AB228" i="12"/>
  <c r="AF228" i="12" s="1"/>
  <c r="AA228" i="12"/>
  <c r="AK228" i="12"/>
  <c r="AJ228" i="12"/>
  <c r="AC228" i="12"/>
  <c r="AD228" i="12" s="1"/>
  <c r="AG228" i="12" s="1"/>
  <c r="W227" i="12"/>
  <c r="V228" i="12"/>
  <c r="Q229" i="12"/>
  <c r="P230" i="12"/>
  <c r="R229" i="12"/>
  <c r="T229" i="12"/>
  <c r="U229" i="12" s="1"/>
  <c r="U228" i="12"/>
  <c r="AI228" i="12"/>
  <c r="B229" i="12"/>
  <c r="A230" i="12"/>
  <c r="S229" i="12"/>
  <c r="Y229" i="12" l="1"/>
  <c r="X229" i="12"/>
  <c r="S230" i="12"/>
  <c r="B230" i="12"/>
  <c r="A231" i="12"/>
  <c r="AB229" i="12"/>
  <c r="AF229" i="12" s="1"/>
  <c r="AJ229" i="12"/>
  <c r="AC229" i="12"/>
  <c r="AA229" i="12"/>
  <c r="AK229" i="12"/>
  <c r="P231" i="12"/>
  <c r="Q230" i="12"/>
  <c r="R230" i="12"/>
  <c r="T230" i="12"/>
  <c r="AI229" i="12"/>
  <c r="V229" i="12"/>
  <c r="W228" i="12"/>
  <c r="X230" i="12" l="1"/>
  <c r="Y230" i="12"/>
  <c r="AI230" i="12"/>
  <c r="AD229" i="12"/>
  <c r="AG229" i="12" s="1"/>
  <c r="S231" i="12"/>
  <c r="A232" i="12"/>
  <c r="B231" i="12"/>
  <c r="V230" i="12"/>
  <c r="W229" i="12"/>
  <c r="T231" i="12"/>
  <c r="U230" i="12"/>
  <c r="R231" i="12"/>
  <c r="P232" i="12"/>
  <c r="Q231" i="12"/>
  <c r="AI231" i="12" s="1"/>
  <c r="AA230" i="12"/>
  <c r="AC230" i="12"/>
  <c r="AJ230" i="12"/>
  <c r="AK230" i="12"/>
  <c r="AB230" i="12"/>
  <c r="AF230" i="12" s="1"/>
  <c r="Y231" i="12" l="1"/>
  <c r="X231" i="12"/>
  <c r="P233" i="12"/>
  <c r="Q232" i="12"/>
  <c r="R232" i="12"/>
  <c r="W230" i="12"/>
  <c r="V231" i="12"/>
  <c r="AD230" i="12"/>
  <c r="AG230" i="12" s="1"/>
  <c r="AA231" i="12"/>
  <c r="AK231" i="12"/>
  <c r="AB231" i="12"/>
  <c r="AF231" i="12" s="1"/>
  <c r="AC231" i="12"/>
  <c r="AJ231" i="12"/>
  <c r="T232" i="12"/>
  <c r="U231" i="12"/>
  <c r="S232" i="12"/>
  <c r="B232" i="12"/>
  <c r="A233" i="12"/>
  <c r="AI232" i="12"/>
  <c r="X232" i="12" l="1"/>
  <c r="Y232" i="12"/>
  <c r="AD231" i="12"/>
  <c r="AG231" i="12" s="1"/>
  <c r="S233" i="12"/>
  <c r="A234" i="12"/>
  <c r="B233" i="12"/>
  <c r="AA232" i="12"/>
  <c r="AC232" i="12"/>
  <c r="AK232" i="12"/>
  <c r="AB232" i="12"/>
  <c r="AF232" i="12" s="1"/>
  <c r="AJ232" i="12"/>
  <c r="T233" i="12"/>
  <c r="U232" i="12"/>
  <c r="V232" i="12"/>
  <c r="W231" i="12"/>
  <c r="R233" i="12"/>
  <c r="P234" i="12"/>
  <c r="Q233" i="12"/>
  <c r="Y233" i="12" l="1"/>
  <c r="X233" i="12"/>
  <c r="AD232" i="12"/>
  <c r="AG232" i="12" s="1"/>
  <c r="W232" i="12"/>
  <c r="V233" i="12"/>
  <c r="T234" i="12"/>
  <c r="U234" i="12" s="1"/>
  <c r="U233" i="12"/>
  <c r="AA233" i="12"/>
  <c r="AK233" i="12"/>
  <c r="AB233" i="12"/>
  <c r="AF233" i="12" s="1"/>
  <c r="AC233" i="12"/>
  <c r="AJ233" i="12"/>
  <c r="S234" i="12"/>
  <c r="B234" i="12"/>
  <c r="A235" i="12"/>
  <c r="P235" i="12"/>
  <c r="Q234" i="12"/>
  <c r="R234" i="12"/>
  <c r="AI233" i="12"/>
  <c r="X234" i="12" l="1"/>
  <c r="Y234" i="12"/>
  <c r="AD233" i="12"/>
  <c r="AG233" i="12" s="1"/>
  <c r="V234" i="12"/>
  <c r="W233" i="12"/>
  <c r="P236" i="12"/>
  <c r="R235" i="12"/>
  <c r="Q235" i="12"/>
  <c r="AB234" i="12"/>
  <c r="AF234" i="12" s="1"/>
  <c r="AC234" i="12"/>
  <c r="AK234" i="12"/>
  <c r="AJ234" i="12"/>
  <c r="AA234" i="12"/>
  <c r="A236" i="12"/>
  <c r="S235" i="12"/>
  <c r="B235" i="12"/>
  <c r="T235" i="12"/>
  <c r="AI234" i="12"/>
  <c r="Y235" i="12" l="1"/>
  <c r="X235" i="12"/>
  <c r="AI235" i="12"/>
  <c r="T236" i="12"/>
  <c r="U236" i="12" s="1"/>
  <c r="U235" i="12"/>
  <c r="AK235" i="12"/>
  <c r="AJ235" i="12"/>
  <c r="AC235" i="12"/>
  <c r="AA235" i="12"/>
  <c r="AB235" i="12"/>
  <c r="AF235" i="12" s="1"/>
  <c r="AD234" i="12"/>
  <c r="AG234" i="12" s="1"/>
  <c r="R236" i="12"/>
  <c r="Q236" i="12"/>
  <c r="P237" i="12"/>
  <c r="B236" i="12"/>
  <c r="A237" i="12"/>
  <c r="S236" i="12"/>
  <c r="W234" i="12"/>
  <c r="V235" i="12"/>
  <c r="X236" i="12" l="1"/>
  <c r="Y236" i="12"/>
  <c r="AI236" i="12"/>
  <c r="P238" i="12"/>
  <c r="Q237" i="12"/>
  <c r="R237" i="12"/>
  <c r="A238" i="12"/>
  <c r="S237" i="12"/>
  <c r="B237" i="12"/>
  <c r="V236" i="12"/>
  <c r="W235" i="12"/>
  <c r="AK236" i="12"/>
  <c r="AC236" i="12"/>
  <c r="AB236" i="12"/>
  <c r="AF236" i="12" s="1"/>
  <c r="AJ236" i="12"/>
  <c r="AA236" i="12"/>
  <c r="AD235" i="12"/>
  <c r="AG235" i="12" s="1"/>
  <c r="T237" i="12"/>
  <c r="Y237" i="12" l="1"/>
  <c r="X237" i="12"/>
  <c r="AI237" i="12"/>
  <c r="AD236" i="12"/>
  <c r="AG236" i="12" s="1"/>
  <c r="A239" i="12"/>
  <c r="S238" i="12"/>
  <c r="B238" i="12"/>
  <c r="T238" i="12"/>
  <c r="U237" i="12"/>
  <c r="U238" i="12"/>
  <c r="AK237" i="12"/>
  <c r="AJ237" i="12"/>
  <c r="AC237" i="12"/>
  <c r="AA237" i="12"/>
  <c r="AB237" i="12"/>
  <c r="AF237" i="12" s="1"/>
  <c r="V237" i="12"/>
  <c r="W236" i="12"/>
  <c r="Q238" i="12"/>
  <c r="P239" i="12"/>
  <c r="R238" i="12"/>
  <c r="X238" i="12" l="1"/>
  <c r="Y238" i="12"/>
  <c r="W237" i="12"/>
  <c r="V238" i="12"/>
  <c r="AD237" i="12"/>
  <c r="AG237" i="12" s="1"/>
  <c r="P240" i="12"/>
  <c r="R239" i="12"/>
  <c r="Q239" i="12"/>
  <c r="AI238" i="12"/>
  <c r="T239" i="12"/>
  <c r="B239" i="12"/>
  <c r="A240" i="12"/>
  <c r="S239" i="12"/>
  <c r="AK238" i="12"/>
  <c r="AC238" i="12"/>
  <c r="AA238" i="12"/>
  <c r="AB238" i="12"/>
  <c r="AF238" i="12" s="1"/>
  <c r="AJ238" i="12"/>
  <c r="Y239" i="12" l="1"/>
  <c r="X239" i="12"/>
  <c r="AI239" i="12"/>
  <c r="AJ239" i="12"/>
  <c r="AK239" i="12"/>
  <c r="AC239" i="12"/>
  <c r="AA239" i="12"/>
  <c r="AB239" i="12"/>
  <c r="AF239" i="12" s="1"/>
  <c r="A241" i="12"/>
  <c r="S240" i="12"/>
  <c r="B240" i="12"/>
  <c r="V239" i="12"/>
  <c r="W238" i="12"/>
  <c r="AD238" i="12"/>
  <c r="AG238" i="12" s="1"/>
  <c r="T240" i="12"/>
  <c r="U240" i="12" s="1"/>
  <c r="U239" i="12"/>
  <c r="P241" i="12"/>
  <c r="Q240" i="12"/>
  <c r="R240" i="12"/>
  <c r="X240" i="12" l="1"/>
  <c r="Y240" i="12"/>
  <c r="Q241" i="12"/>
  <c r="P242" i="12"/>
  <c r="R241" i="12"/>
  <c r="T241" i="12"/>
  <c r="V240" i="12"/>
  <c r="W239" i="12"/>
  <c r="A242" i="12"/>
  <c r="S241" i="12"/>
  <c r="B241" i="12"/>
  <c r="AD239" i="12"/>
  <c r="AG239" i="12" s="1"/>
  <c r="AB240" i="12"/>
  <c r="AF240" i="12" s="1"/>
  <c r="AJ240" i="12"/>
  <c r="AC240" i="12"/>
  <c r="AK240" i="12"/>
  <c r="AA240" i="12"/>
  <c r="AI240" i="12"/>
  <c r="Y241" i="12" l="1"/>
  <c r="X241" i="12"/>
  <c r="B242" i="12"/>
  <c r="A243" i="12"/>
  <c r="S242" i="12"/>
  <c r="Q242" i="12"/>
  <c r="P243" i="12"/>
  <c r="R242" i="12"/>
  <c r="AD240" i="12"/>
  <c r="AG240" i="12" s="1"/>
  <c r="AA241" i="12"/>
  <c r="AB241" i="12"/>
  <c r="AF241" i="12" s="1"/>
  <c r="AK241" i="12"/>
  <c r="AJ241" i="12"/>
  <c r="AC241" i="12"/>
  <c r="T242" i="12"/>
  <c r="U241" i="12"/>
  <c r="W240" i="12"/>
  <c r="V241" i="12"/>
  <c r="AI241" i="12"/>
  <c r="AD241" i="12" l="1"/>
  <c r="AG241" i="12" s="1"/>
  <c r="X242" i="12"/>
  <c r="Y242" i="12"/>
  <c r="AI242" i="12"/>
  <c r="V242" i="12"/>
  <c r="W241" i="12"/>
  <c r="T243" i="12"/>
  <c r="U242" i="12"/>
  <c r="P244" i="12"/>
  <c r="Q243" i="12"/>
  <c r="R243" i="12"/>
  <c r="S243" i="12"/>
  <c r="B243" i="12"/>
  <c r="A244" i="12"/>
  <c r="AC242" i="12"/>
  <c r="AA242" i="12"/>
  <c r="AK242" i="12"/>
  <c r="AJ242" i="12"/>
  <c r="AB242" i="12"/>
  <c r="AF242" i="12" s="1"/>
  <c r="AI243" i="12" l="1"/>
  <c r="Y243" i="12"/>
  <c r="X243" i="12"/>
  <c r="T244" i="12"/>
  <c r="U244" i="12" s="1"/>
  <c r="U243" i="12"/>
  <c r="A245" i="12"/>
  <c r="S244" i="12"/>
  <c r="B244" i="12"/>
  <c r="AD242" i="12"/>
  <c r="AG242" i="12" s="1"/>
  <c r="AB243" i="12"/>
  <c r="AF243" i="12" s="1"/>
  <c r="AA243" i="12"/>
  <c r="AC243" i="12"/>
  <c r="AK243" i="12"/>
  <c r="AJ243" i="12"/>
  <c r="P245" i="12"/>
  <c r="Q244" i="12"/>
  <c r="R244" i="12"/>
  <c r="V243" i="12"/>
  <c r="W242" i="12"/>
  <c r="X244" i="12" l="1"/>
  <c r="Y244" i="12"/>
  <c r="W243" i="12"/>
  <c r="V244" i="12"/>
  <c r="AD243" i="12"/>
  <c r="AG243" i="12" s="1"/>
  <c r="Q245" i="12"/>
  <c r="P246" i="12"/>
  <c r="R245" i="12"/>
  <c r="AI244" i="12"/>
  <c r="A246" i="12"/>
  <c r="S245" i="12"/>
  <c r="B245" i="12"/>
  <c r="T245" i="12"/>
  <c r="AJ244" i="12"/>
  <c r="AA244" i="12"/>
  <c r="AC244" i="12"/>
  <c r="AB244" i="12"/>
  <c r="AF244" i="12" s="1"/>
  <c r="AK244" i="12"/>
  <c r="Y245" i="12" l="1"/>
  <c r="X245" i="12"/>
  <c r="AI245" i="12"/>
  <c r="AD244" i="12"/>
  <c r="AG244" i="12" s="1"/>
  <c r="AA245" i="12"/>
  <c r="AJ245" i="12"/>
  <c r="AB245" i="12"/>
  <c r="AF245" i="12" s="1"/>
  <c r="AC245" i="12"/>
  <c r="AK245" i="12"/>
  <c r="T246" i="12"/>
  <c r="U245" i="12"/>
  <c r="Q246" i="12"/>
  <c r="P247" i="12"/>
  <c r="R246" i="12"/>
  <c r="W244" i="12"/>
  <c r="V245" i="12"/>
  <c r="B246" i="12"/>
  <c r="A247" i="12"/>
  <c r="S246" i="12"/>
  <c r="AI246" i="12" l="1"/>
  <c r="X246" i="12"/>
  <c r="Y246" i="12"/>
  <c r="AD245" i="12"/>
  <c r="AG245" i="12" s="1"/>
  <c r="AK246" i="12"/>
  <c r="AB246" i="12"/>
  <c r="AF246" i="12" s="1"/>
  <c r="AJ246" i="12"/>
  <c r="AC246" i="12"/>
  <c r="AA246" i="12"/>
  <c r="P248" i="12"/>
  <c r="Q247" i="12"/>
  <c r="R247" i="12"/>
  <c r="V246" i="12"/>
  <c r="W245" i="12"/>
  <c r="T247" i="12"/>
  <c r="U246" i="12"/>
  <c r="S247" i="12"/>
  <c r="B247" i="12"/>
  <c r="A248" i="12"/>
  <c r="Y247" i="12" l="1"/>
  <c r="X247" i="12"/>
  <c r="AI247" i="12"/>
  <c r="AD246" i="12"/>
  <c r="AG246" i="12" s="1"/>
  <c r="V247" i="12"/>
  <c r="W246" i="12"/>
  <c r="U247" i="12"/>
  <c r="A249" i="12"/>
  <c r="S248" i="12"/>
  <c r="B248" i="12"/>
  <c r="T248" i="12"/>
  <c r="AA247" i="12"/>
  <c r="AJ247" i="12"/>
  <c r="AC247" i="12"/>
  <c r="AB247" i="12"/>
  <c r="AF247" i="12" s="1"/>
  <c r="AK247" i="12"/>
  <c r="P249" i="12"/>
  <c r="Q248" i="12"/>
  <c r="R248" i="12"/>
  <c r="X248" i="12" l="1"/>
  <c r="Y248" i="12"/>
  <c r="Q249" i="12"/>
  <c r="P250" i="12"/>
  <c r="R249" i="12"/>
  <c r="AD247" i="12"/>
  <c r="AG247" i="12" s="1"/>
  <c r="AB248" i="12"/>
  <c r="AF248" i="12" s="1"/>
  <c r="AK248" i="12"/>
  <c r="AJ248" i="12"/>
  <c r="AA248" i="12"/>
  <c r="AC248" i="12"/>
  <c r="T249" i="12"/>
  <c r="W247" i="12"/>
  <c r="V248" i="12"/>
  <c r="U248" i="12"/>
  <c r="AI248" i="12"/>
  <c r="A250" i="12"/>
  <c r="S249" i="12"/>
  <c r="B249" i="12"/>
  <c r="AD248" i="12" l="1"/>
  <c r="AG248" i="12" s="1"/>
  <c r="Y249" i="12"/>
  <c r="X249" i="12"/>
  <c r="W248" i="12"/>
  <c r="V249" i="12"/>
  <c r="T250" i="12"/>
  <c r="U250" i="12" s="1"/>
  <c r="B250" i="12"/>
  <c r="A251" i="12"/>
  <c r="S250" i="12"/>
  <c r="R250" i="12"/>
  <c r="Q250" i="12"/>
  <c r="P251" i="12"/>
  <c r="AI249" i="12"/>
  <c r="AK249" i="12"/>
  <c r="AJ249" i="12"/>
  <c r="AA249" i="12"/>
  <c r="AC249" i="12"/>
  <c r="AB249" i="12"/>
  <c r="AF249" i="12" s="1"/>
  <c r="U249" i="12"/>
  <c r="X250" i="12" l="1"/>
  <c r="Y250" i="12"/>
  <c r="AI250" i="12"/>
  <c r="S251" i="12"/>
  <c r="B251" i="12"/>
  <c r="A252" i="12"/>
  <c r="T251" i="12"/>
  <c r="AC250" i="12"/>
  <c r="AK250" i="12"/>
  <c r="AA250" i="12"/>
  <c r="AB250" i="12"/>
  <c r="AF250" i="12" s="1"/>
  <c r="AJ250" i="12"/>
  <c r="P252" i="12"/>
  <c r="Q251" i="12"/>
  <c r="R251" i="12"/>
  <c r="V250" i="12"/>
  <c r="W249" i="12"/>
  <c r="AD249" i="12"/>
  <c r="AG249" i="12" s="1"/>
  <c r="AI251" i="12"/>
  <c r="Y251" i="12" l="1"/>
  <c r="X251" i="12"/>
  <c r="AD250" i="12"/>
  <c r="AG250" i="12" s="1"/>
  <c r="V251" i="12"/>
  <c r="W250" i="12"/>
  <c r="P253" i="12"/>
  <c r="Q252" i="12"/>
  <c r="AI252" i="12" s="1"/>
  <c r="R252" i="12"/>
  <c r="A253" i="12"/>
  <c r="S252" i="12"/>
  <c r="B252" i="12"/>
  <c r="T252" i="12"/>
  <c r="U251" i="12"/>
  <c r="AB251" i="12"/>
  <c r="AF251" i="12" s="1"/>
  <c r="AK251" i="12"/>
  <c r="AJ251" i="12"/>
  <c r="AC251" i="12"/>
  <c r="AA251" i="12"/>
  <c r="X252" i="12" l="1"/>
  <c r="Y252" i="12"/>
  <c r="AD251" i="12"/>
  <c r="AG251" i="12" s="1"/>
  <c r="Q253" i="12"/>
  <c r="P254" i="12"/>
  <c r="R253" i="12"/>
  <c r="A254" i="12"/>
  <c r="S253" i="12"/>
  <c r="B253" i="12"/>
  <c r="AB252" i="12"/>
  <c r="AF252" i="12" s="1"/>
  <c r="AK252" i="12"/>
  <c r="AJ252" i="12"/>
  <c r="AC252" i="12"/>
  <c r="AA252" i="12"/>
  <c r="W251" i="12"/>
  <c r="V252" i="12"/>
  <c r="T253" i="12"/>
  <c r="U252" i="12"/>
  <c r="Y253" i="12" l="1"/>
  <c r="X253" i="12"/>
  <c r="AI253" i="12"/>
  <c r="AD252" i="12"/>
  <c r="AG252" i="12" s="1"/>
  <c r="R254" i="12"/>
  <c r="Q254" i="12"/>
  <c r="AI254" i="12" s="1"/>
  <c r="P255" i="12"/>
  <c r="B254" i="12"/>
  <c r="A255" i="12"/>
  <c r="S254" i="12"/>
  <c r="T254" i="12"/>
  <c r="U254" i="12" s="1"/>
  <c r="U253" i="12"/>
  <c r="AB253" i="12"/>
  <c r="AF253" i="12" s="1"/>
  <c r="AA253" i="12"/>
  <c r="AK253" i="12"/>
  <c r="AJ253" i="12"/>
  <c r="AC253" i="12"/>
  <c r="W252" i="12"/>
  <c r="V253" i="12"/>
  <c r="X254" i="12" l="1"/>
  <c r="Y254" i="12"/>
  <c r="AD253" i="12"/>
  <c r="AG253" i="12" s="1"/>
  <c r="AB254" i="12"/>
  <c r="AF254" i="12" s="1"/>
  <c r="AJ254" i="12"/>
  <c r="AC254" i="12"/>
  <c r="AA254" i="12"/>
  <c r="AK254" i="12"/>
  <c r="P256" i="12"/>
  <c r="Q255" i="12"/>
  <c r="R255" i="12"/>
  <c r="V254" i="12"/>
  <c r="W253" i="12"/>
  <c r="T255" i="12"/>
  <c r="S255" i="12"/>
  <c r="B255" i="12"/>
  <c r="A256" i="12"/>
  <c r="AI255" i="12" l="1"/>
  <c r="Y255" i="12"/>
  <c r="X255" i="12"/>
  <c r="AD254" i="12"/>
  <c r="AG254" i="12" s="1"/>
  <c r="V255" i="12"/>
  <c r="W254" i="12"/>
  <c r="T256" i="12"/>
  <c r="U255" i="12"/>
  <c r="A257" i="12"/>
  <c r="S256" i="12"/>
  <c r="B256" i="12"/>
  <c r="AB255" i="12"/>
  <c r="AF255" i="12" s="1"/>
  <c r="AK255" i="12"/>
  <c r="AJ255" i="12"/>
  <c r="AC255" i="12"/>
  <c r="AA255" i="12"/>
  <c r="P257" i="12"/>
  <c r="Q256" i="12"/>
  <c r="R256" i="12"/>
  <c r="X256" i="12" l="1"/>
  <c r="Y256" i="12"/>
  <c r="AI256" i="12"/>
  <c r="T257" i="12"/>
  <c r="U257" i="12" s="1"/>
  <c r="U256" i="12"/>
  <c r="P258" i="12"/>
  <c r="Q257" i="12"/>
  <c r="R257" i="12"/>
  <c r="AI257" i="12" s="1"/>
  <c r="AD255" i="12"/>
  <c r="AG255" i="12" s="1"/>
  <c r="S257" i="12"/>
  <c r="A258" i="12"/>
  <c r="B257" i="12"/>
  <c r="AA256" i="12"/>
  <c r="AK256" i="12"/>
  <c r="AB256" i="12"/>
  <c r="AF256" i="12" s="1"/>
  <c r="AC256" i="12"/>
  <c r="AJ256" i="12"/>
  <c r="W255" i="12"/>
  <c r="V256" i="12"/>
  <c r="Y257" i="12" l="1"/>
  <c r="X257" i="12"/>
  <c r="AD256" i="12"/>
  <c r="AG256" i="12" s="1"/>
  <c r="W256" i="12"/>
  <c r="V257" i="12"/>
  <c r="P259" i="12"/>
  <c r="Q258" i="12"/>
  <c r="R258" i="12"/>
  <c r="AA257" i="12"/>
  <c r="AK257" i="12"/>
  <c r="AB257" i="12"/>
  <c r="AF257" i="12" s="1"/>
  <c r="AC257" i="12"/>
  <c r="AJ257" i="12"/>
  <c r="A259" i="12"/>
  <c r="S258" i="12"/>
  <c r="B258" i="12"/>
  <c r="T258" i="12"/>
  <c r="X258" i="12" l="1"/>
  <c r="Y258" i="12"/>
  <c r="AD257" i="12"/>
  <c r="AG257" i="12" s="1"/>
  <c r="AA258" i="12"/>
  <c r="AK258" i="12"/>
  <c r="AB258" i="12"/>
  <c r="AF258" i="12" s="1"/>
  <c r="AC258" i="12"/>
  <c r="AJ258" i="12"/>
  <c r="S259" i="12"/>
  <c r="A260" i="12"/>
  <c r="B259" i="12"/>
  <c r="P260" i="12"/>
  <c r="Q259" i="12"/>
  <c r="R259" i="12"/>
  <c r="V258" i="12"/>
  <c r="W257" i="12"/>
  <c r="T259" i="12"/>
  <c r="U259" i="12" s="1"/>
  <c r="U258" i="12"/>
  <c r="AI258" i="12"/>
  <c r="Y259" i="12" l="1"/>
  <c r="X259" i="12"/>
  <c r="AD258" i="12"/>
  <c r="AG258" i="12" s="1"/>
  <c r="T260" i="12"/>
  <c r="AI259" i="12"/>
  <c r="P261" i="12"/>
  <c r="Q260" i="12"/>
  <c r="R260" i="12"/>
  <c r="W258" i="12"/>
  <c r="V259" i="12"/>
  <c r="AA259" i="12"/>
  <c r="AK259" i="12"/>
  <c r="AB259" i="12"/>
  <c r="AF259" i="12" s="1"/>
  <c r="AC259" i="12"/>
  <c r="AJ259" i="12"/>
  <c r="A261" i="12"/>
  <c r="S260" i="12"/>
  <c r="B260" i="12"/>
  <c r="X260" i="12" l="1"/>
  <c r="Y260" i="12"/>
  <c r="AI260" i="12"/>
  <c r="S261" i="12"/>
  <c r="A262" i="12"/>
  <c r="B261" i="12"/>
  <c r="AD259" i="12"/>
  <c r="AG259" i="12" s="1"/>
  <c r="V260" i="12"/>
  <c r="W259" i="12"/>
  <c r="P262" i="12"/>
  <c r="Q261" i="12"/>
  <c r="R261" i="12"/>
  <c r="T261" i="12"/>
  <c r="U260" i="12"/>
  <c r="AA260" i="12"/>
  <c r="AC260" i="12"/>
  <c r="AK260" i="12"/>
  <c r="AJ260" i="12"/>
  <c r="AB260" i="12"/>
  <c r="AF260" i="12" s="1"/>
  <c r="Y261" i="12" l="1"/>
  <c r="X261" i="12"/>
  <c r="W260" i="12"/>
  <c r="V261" i="12"/>
  <c r="P263" i="12"/>
  <c r="Q262" i="12"/>
  <c r="R262" i="12"/>
  <c r="AA261" i="12"/>
  <c r="AK261" i="12"/>
  <c r="AB261" i="12"/>
  <c r="AF261" i="12" s="1"/>
  <c r="AC261" i="12"/>
  <c r="AJ261" i="12"/>
  <c r="AD260" i="12"/>
  <c r="AG260" i="12" s="1"/>
  <c r="T262" i="12"/>
  <c r="U262" i="12" s="1"/>
  <c r="U261" i="12"/>
  <c r="A263" i="12"/>
  <c r="S262" i="12"/>
  <c r="B262" i="12"/>
  <c r="AI261" i="12"/>
  <c r="AI262" i="12" l="1"/>
  <c r="X262" i="12"/>
  <c r="Y262" i="12"/>
  <c r="P264" i="12"/>
  <c r="Q263" i="12"/>
  <c r="R263" i="12"/>
  <c r="AA262" i="12"/>
  <c r="AJ262" i="12"/>
  <c r="AK262" i="12"/>
  <c r="AB262" i="12"/>
  <c r="AF262" i="12" s="1"/>
  <c r="AC262" i="12"/>
  <c r="T263" i="12"/>
  <c r="AD261" i="12"/>
  <c r="AG261" i="12" s="1"/>
  <c r="V262" i="12"/>
  <c r="W261" i="12"/>
  <c r="S263" i="12"/>
  <c r="A264" i="12"/>
  <c r="B263" i="12"/>
  <c r="AI263" i="12"/>
  <c r="Y263" i="12" l="1"/>
  <c r="X263" i="12"/>
  <c r="AD262" i="12"/>
  <c r="AG262" i="12" s="1"/>
  <c r="AA263" i="12"/>
  <c r="AK263" i="12"/>
  <c r="AB263" i="12"/>
  <c r="AF263" i="12" s="1"/>
  <c r="AC263" i="12"/>
  <c r="AJ263" i="12"/>
  <c r="A265" i="12"/>
  <c r="S264" i="12"/>
  <c r="B264" i="12"/>
  <c r="W262" i="12"/>
  <c r="V263" i="12"/>
  <c r="T264" i="12"/>
  <c r="U264" i="12" s="1"/>
  <c r="U263" i="12"/>
  <c r="P265" i="12"/>
  <c r="Q264" i="12"/>
  <c r="R264" i="12"/>
  <c r="X264" i="12" l="1"/>
  <c r="Y264" i="12"/>
  <c r="V264" i="12"/>
  <c r="W263" i="12"/>
  <c r="P266" i="12"/>
  <c r="Q265" i="12"/>
  <c r="R265" i="12"/>
  <c r="S265" i="12"/>
  <c r="A266" i="12"/>
  <c r="B265" i="12"/>
  <c r="T265" i="12"/>
  <c r="U265" i="12" s="1"/>
  <c r="AA264" i="12"/>
  <c r="AK264" i="12"/>
  <c r="AJ264" i="12"/>
  <c r="AB264" i="12"/>
  <c r="AF264" i="12" s="1"/>
  <c r="AC264" i="12"/>
  <c r="AD264" i="12" s="1"/>
  <c r="AG264" i="12" s="1"/>
  <c r="AI264" i="12"/>
  <c r="AD263" i="12"/>
  <c r="AG263" i="12" s="1"/>
  <c r="Y265" i="12" l="1"/>
  <c r="X265" i="12"/>
  <c r="AA265" i="12"/>
  <c r="AK265" i="12"/>
  <c r="AB265" i="12"/>
  <c r="AF265" i="12" s="1"/>
  <c r="AC265" i="12"/>
  <c r="AD265" i="12" s="1"/>
  <c r="AG265" i="12" s="1"/>
  <c r="AJ265" i="12"/>
  <c r="W264" i="12"/>
  <c r="V265" i="12"/>
  <c r="A267" i="12"/>
  <c r="S266" i="12"/>
  <c r="B266" i="12"/>
  <c r="AI265" i="12"/>
  <c r="T266" i="12"/>
  <c r="P267" i="12"/>
  <c r="R266" i="12"/>
  <c r="Q266" i="12"/>
  <c r="X266" i="12" l="1"/>
  <c r="Y266" i="12"/>
  <c r="AI266" i="12"/>
  <c r="T267" i="12"/>
  <c r="Q267" i="12"/>
  <c r="P268" i="12"/>
  <c r="R267" i="12"/>
  <c r="U267" i="12"/>
  <c r="A268" i="12"/>
  <c r="S267" i="12"/>
  <c r="B267" i="12"/>
  <c r="U266" i="12"/>
  <c r="AB266" i="12"/>
  <c r="AF266" i="12" s="1"/>
  <c r="AJ266" i="12"/>
  <c r="AK266" i="12"/>
  <c r="AA266" i="12"/>
  <c r="AC266" i="12"/>
  <c r="V266" i="12"/>
  <c r="W265" i="12"/>
  <c r="Y267" i="12" l="1"/>
  <c r="X267" i="12"/>
  <c r="AD266" i="12"/>
  <c r="AG266" i="12" s="1"/>
  <c r="AI267" i="12"/>
  <c r="AK267" i="12"/>
  <c r="AA267" i="12"/>
  <c r="AJ267" i="12"/>
  <c r="AC267" i="12"/>
  <c r="AB267" i="12"/>
  <c r="AF267" i="12" s="1"/>
  <c r="S268" i="12"/>
  <c r="B268" i="12"/>
  <c r="A269" i="12"/>
  <c r="T268" i="12"/>
  <c r="W266" i="12"/>
  <c r="V267" i="12"/>
  <c r="P269" i="12"/>
  <c r="Q268" i="12"/>
  <c r="R268" i="12"/>
  <c r="X268" i="12" l="1"/>
  <c r="Y268" i="12"/>
  <c r="A270" i="12"/>
  <c r="S269" i="12"/>
  <c r="B269" i="12"/>
  <c r="T269" i="12"/>
  <c r="U268" i="12"/>
  <c r="AK268" i="12"/>
  <c r="AB268" i="12"/>
  <c r="AF268" i="12" s="1"/>
  <c r="AA268" i="12"/>
  <c r="AC268" i="12"/>
  <c r="AJ268" i="12"/>
  <c r="AD267" i="12"/>
  <c r="AG267" i="12" s="1"/>
  <c r="P270" i="12"/>
  <c r="R269" i="12"/>
  <c r="Q269" i="12"/>
  <c r="V268" i="12"/>
  <c r="W267" i="12"/>
  <c r="AI268" i="12"/>
  <c r="Y269" i="12" l="1"/>
  <c r="X269" i="12"/>
  <c r="W268" i="12"/>
  <c r="V269" i="12"/>
  <c r="AK269" i="12"/>
  <c r="AJ269" i="12"/>
  <c r="AC269" i="12"/>
  <c r="AA269" i="12"/>
  <c r="AB269" i="12"/>
  <c r="AF269" i="12" s="1"/>
  <c r="AD268" i="12"/>
  <c r="AG268" i="12" s="1"/>
  <c r="T270" i="12"/>
  <c r="U269" i="12"/>
  <c r="B270" i="12"/>
  <c r="A271" i="12"/>
  <c r="S270" i="12"/>
  <c r="Q270" i="12"/>
  <c r="P271" i="12"/>
  <c r="R270" i="12"/>
  <c r="AI269" i="12"/>
  <c r="X270" i="12" l="1"/>
  <c r="Y270" i="12"/>
  <c r="P272" i="12"/>
  <c r="R271" i="12"/>
  <c r="Q271" i="12"/>
  <c r="A272" i="12"/>
  <c r="S271" i="12"/>
  <c r="B271" i="12"/>
  <c r="AI270" i="12"/>
  <c r="AK270" i="12"/>
  <c r="AA270" i="12"/>
  <c r="AB270" i="12"/>
  <c r="AF270" i="12" s="1"/>
  <c r="AJ270" i="12"/>
  <c r="AC270" i="12"/>
  <c r="V270" i="12"/>
  <c r="W269" i="12"/>
  <c r="T271" i="12"/>
  <c r="U270" i="12"/>
  <c r="AD269" i="12"/>
  <c r="AG269" i="12" s="1"/>
  <c r="AD270" i="12" l="1"/>
  <c r="AG270" i="12" s="1"/>
  <c r="Y271" i="12"/>
  <c r="X271" i="12"/>
  <c r="A273" i="12"/>
  <c r="S272" i="12"/>
  <c r="B272" i="12"/>
  <c r="T272" i="12"/>
  <c r="U272" i="12" s="1"/>
  <c r="AI271" i="12"/>
  <c r="Q272" i="12"/>
  <c r="P273" i="12"/>
  <c r="R272" i="12"/>
  <c r="U271" i="12"/>
  <c r="V271" i="12"/>
  <c r="W270" i="12"/>
  <c r="AJ271" i="12"/>
  <c r="AK271" i="12"/>
  <c r="AC271" i="12"/>
  <c r="AA271" i="12"/>
  <c r="AB271" i="12"/>
  <c r="AF271" i="12" s="1"/>
  <c r="X272" i="12" l="1"/>
  <c r="Y272" i="12"/>
  <c r="AD271" i="12"/>
  <c r="AG271" i="12" s="1"/>
  <c r="W271" i="12"/>
  <c r="V272" i="12"/>
  <c r="B273" i="12"/>
  <c r="A274" i="12"/>
  <c r="S273" i="12"/>
  <c r="AK272" i="12"/>
  <c r="AJ272" i="12"/>
  <c r="AA272" i="12"/>
  <c r="AC272" i="12"/>
  <c r="AB272" i="12"/>
  <c r="AF272" i="12" s="1"/>
  <c r="AI272" i="12"/>
  <c r="Q273" i="12"/>
  <c r="P274" i="12"/>
  <c r="R273" i="12"/>
  <c r="T273" i="12"/>
  <c r="Y273" i="12" l="1"/>
  <c r="X273" i="12"/>
  <c r="S274" i="12"/>
  <c r="B274" i="12"/>
  <c r="A275" i="12"/>
  <c r="V273" i="12"/>
  <c r="W272" i="12"/>
  <c r="AA273" i="12"/>
  <c r="AK273" i="12"/>
  <c r="AJ273" i="12"/>
  <c r="AC273" i="12"/>
  <c r="AB273" i="12"/>
  <c r="AF273" i="12" s="1"/>
  <c r="P275" i="12"/>
  <c r="Q274" i="12"/>
  <c r="R274" i="12"/>
  <c r="AD272" i="12"/>
  <c r="AG272" i="12" s="1"/>
  <c r="T274" i="12"/>
  <c r="U273" i="12"/>
  <c r="AI273" i="12"/>
  <c r="X274" i="12" l="1"/>
  <c r="Y274" i="12"/>
  <c r="AI274" i="12"/>
  <c r="A276" i="12"/>
  <c r="S275" i="12"/>
  <c r="B275" i="12"/>
  <c r="AD273" i="12"/>
  <c r="AG273" i="12" s="1"/>
  <c r="AB274" i="12"/>
  <c r="AF274" i="12" s="1"/>
  <c r="AK274" i="12"/>
  <c r="AJ274" i="12"/>
  <c r="AA274" i="12"/>
  <c r="AC274" i="12"/>
  <c r="T275" i="12"/>
  <c r="U274" i="12"/>
  <c r="V274" i="12"/>
  <c r="W273" i="12"/>
  <c r="P276" i="12"/>
  <c r="Q275" i="12"/>
  <c r="R275" i="12"/>
  <c r="Y275" i="12" l="1"/>
  <c r="X275" i="12"/>
  <c r="AD274" i="12"/>
  <c r="AG274" i="12" s="1"/>
  <c r="AI275" i="12"/>
  <c r="Q276" i="12"/>
  <c r="AI276" i="12" s="1"/>
  <c r="P277" i="12"/>
  <c r="R276" i="12"/>
  <c r="T276" i="12"/>
  <c r="U275" i="12"/>
  <c r="AA275" i="12"/>
  <c r="AK275" i="12"/>
  <c r="AJ275" i="12"/>
  <c r="AC275" i="12"/>
  <c r="AB275" i="12"/>
  <c r="AF275" i="12" s="1"/>
  <c r="W274" i="12"/>
  <c r="V275" i="12"/>
  <c r="A277" i="12"/>
  <c r="S276" i="12"/>
  <c r="B276" i="12"/>
  <c r="X276" i="12" l="1"/>
  <c r="Y276" i="12"/>
  <c r="B277" i="12"/>
  <c r="A278" i="12"/>
  <c r="S277" i="12"/>
  <c r="AJ276" i="12"/>
  <c r="AC276" i="12"/>
  <c r="AB276" i="12"/>
  <c r="AF276" i="12" s="1"/>
  <c r="AA276" i="12"/>
  <c r="AK276" i="12"/>
  <c r="W275" i="12"/>
  <c r="V276" i="12"/>
  <c r="AD275" i="12"/>
  <c r="AG275" i="12" s="1"/>
  <c r="Q277" i="12"/>
  <c r="P278" i="12"/>
  <c r="R277" i="12"/>
  <c r="T277" i="12"/>
  <c r="U276" i="12"/>
  <c r="AI277" i="12" l="1"/>
  <c r="Y277" i="12"/>
  <c r="X277" i="12"/>
  <c r="V277" i="12"/>
  <c r="W276" i="12"/>
  <c r="T278" i="12"/>
  <c r="U278" i="12" s="1"/>
  <c r="U277" i="12"/>
  <c r="P279" i="12"/>
  <c r="R278" i="12"/>
  <c r="Q278" i="12"/>
  <c r="AD276" i="12"/>
  <c r="AG276" i="12" s="1"/>
  <c r="S278" i="12"/>
  <c r="B278" i="12"/>
  <c r="A279" i="12"/>
  <c r="AA277" i="12"/>
  <c r="AK277" i="12"/>
  <c r="AJ277" i="12"/>
  <c r="AC277" i="12"/>
  <c r="AB277" i="12"/>
  <c r="AF277" i="12" s="1"/>
  <c r="X278" i="12" l="1"/>
  <c r="Y278" i="12"/>
  <c r="AI278" i="12"/>
  <c r="AK278" i="12"/>
  <c r="AA278" i="12"/>
  <c r="AJ278" i="12"/>
  <c r="AC278" i="12"/>
  <c r="AB278" i="12"/>
  <c r="AF278" i="12" s="1"/>
  <c r="P280" i="12"/>
  <c r="Q279" i="12"/>
  <c r="R279" i="12"/>
  <c r="AD277" i="12"/>
  <c r="AG277" i="12" s="1"/>
  <c r="V278" i="12"/>
  <c r="W277" i="12"/>
  <c r="A280" i="12"/>
  <c r="S279" i="12"/>
  <c r="B279" i="12"/>
  <c r="T279" i="12"/>
  <c r="U279" i="12" s="1"/>
  <c r="Y279" i="12" l="1"/>
  <c r="X279" i="12"/>
  <c r="AI279" i="12"/>
  <c r="AD278" i="12"/>
  <c r="AG278" i="12" s="1"/>
  <c r="AA279" i="12"/>
  <c r="AJ279" i="12"/>
  <c r="AB279" i="12"/>
  <c r="AF279" i="12" s="1"/>
  <c r="AC279" i="12"/>
  <c r="AK279" i="12"/>
  <c r="A281" i="12"/>
  <c r="S280" i="12"/>
  <c r="B280" i="12"/>
  <c r="T280" i="12"/>
  <c r="W278" i="12"/>
  <c r="V279" i="12"/>
  <c r="Q280" i="12"/>
  <c r="P281" i="12"/>
  <c r="R280" i="12"/>
  <c r="X280" i="12" l="1"/>
  <c r="Y280" i="12"/>
  <c r="Q281" i="12"/>
  <c r="P282" i="12"/>
  <c r="R281" i="12"/>
  <c r="B281" i="12"/>
  <c r="A282" i="12"/>
  <c r="S281" i="12"/>
  <c r="W279" i="12"/>
  <c r="V280" i="12"/>
  <c r="AB280" i="12"/>
  <c r="AF280" i="12" s="1"/>
  <c r="AJ280" i="12"/>
  <c r="AC280" i="12"/>
  <c r="AA280" i="12"/>
  <c r="AK280" i="12"/>
  <c r="AI280" i="12"/>
  <c r="T281" i="12"/>
  <c r="U280" i="12"/>
  <c r="AD279" i="12"/>
  <c r="AG279" i="12" s="1"/>
  <c r="Y281" i="12" l="1"/>
  <c r="X281" i="12"/>
  <c r="AI281" i="12"/>
  <c r="T282" i="12"/>
  <c r="U282" i="12" s="1"/>
  <c r="U281" i="12"/>
  <c r="P283" i="12"/>
  <c r="R282" i="12"/>
  <c r="Q282" i="12"/>
  <c r="AD280" i="12"/>
  <c r="AG280" i="12" s="1"/>
  <c r="V281" i="12"/>
  <c r="W280" i="12"/>
  <c r="S282" i="12"/>
  <c r="B282" i="12"/>
  <c r="A283" i="12"/>
  <c r="AA281" i="12"/>
  <c r="AB281" i="12"/>
  <c r="AF281" i="12" s="1"/>
  <c r="AK281" i="12"/>
  <c r="AJ281" i="12"/>
  <c r="AC281" i="12"/>
  <c r="X282" i="12" l="1"/>
  <c r="Y282" i="12"/>
  <c r="AD281" i="12"/>
  <c r="AG281" i="12" s="1"/>
  <c r="AI282" i="12"/>
  <c r="A284" i="12"/>
  <c r="S283" i="12"/>
  <c r="B283" i="12"/>
  <c r="V282" i="12"/>
  <c r="W281" i="12"/>
  <c r="P284" i="12"/>
  <c r="Q283" i="12"/>
  <c r="R283" i="12"/>
  <c r="T283" i="12"/>
  <c r="AK282" i="12"/>
  <c r="AJ282" i="12"/>
  <c r="AC282" i="12"/>
  <c r="AA282" i="12"/>
  <c r="AB282" i="12"/>
  <c r="AF282" i="12" s="1"/>
  <c r="Y283" i="12" l="1"/>
  <c r="X283" i="12"/>
  <c r="T284" i="12"/>
  <c r="U284" i="12" s="1"/>
  <c r="U283" i="12"/>
  <c r="Q284" i="12"/>
  <c r="P285" i="12"/>
  <c r="R284" i="12"/>
  <c r="AI284" i="12" s="1"/>
  <c r="W282" i="12"/>
  <c r="V283" i="12"/>
  <c r="A285" i="12"/>
  <c r="S284" i="12"/>
  <c r="B284" i="12"/>
  <c r="AD282" i="12"/>
  <c r="AG282" i="12" s="1"/>
  <c r="AA283" i="12"/>
  <c r="AJ283" i="12"/>
  <c r="AC283" i="12"/>
  <c r="AB283" i="12"/>
  <c r="AF283" i="12" s="1"/>
  <c r="AK283" i="12"/>
  <c r="AI283" i="12"/>
  <c r="X284" i="12" l="1"/>
  <c r="Y284" i="12"/>
  <c r="Q285" i="12"/>
  <c r="AI285" i="12" s="1"/>
  <c r="P286" i="12"/>
  <c r="R285" i="12"/>
  <c r="AK284" i="12"/>
  <c r="AJ284" i="12"/>
  <c r="AC284" i="12"/>
  <c r="AB284" i="12"/>
  <c r="AF284" i="12" s="1"/>
  <c r="AA284" i="12"/>
  <c r="AD283" i="12"/>
  <c r="AG283" i="12" s="1"/>
  <c r="T285" i="12"/>
  <c r="W283" i="12"/>
  <c r="V284" i="12"/>
  <c r="B285" i="12"/>
  <c r="A286" i="12"/>
  <c r="S285" i="12"/>
  <c r="Y285" i="12" l="1"/>
  <c r="X285" i="12"/>
  <c r="AD284" i="12"/>
  <c r="AG284" i="12" s="1"/>
  <c r="AA285" i="12"/>
  <c r="AC285" i="12"/>
  <c r="AB285" i="12"/>
  <c r="AF285" i="12" s="1"/>
  <c r="AK285" i="12"/>
  <c r="AJ285" i="12"/>
  <c r="V285" i="12"/>
  <c r="W284" i="12"/>
  <c r="P287" i="12"/>
  <c r="R286" i="12"/>
  <c r="Q286" i="12"/>
  <c r="S286" i="12"/>
  <c r="B286" i="12"/>
  <c r="A287" i="12"/>
  <c r="T286" i="12"/>
  <c r="U286" i="12" s="1"/>
  <c r="U285" i="12"/>
  <c r="X286" i="12" l="1"/>
  <c r="Y286" i="12"/>
  <c r="AI286" i="12"/>
  <c r="V286" i="12"/>
  <c r="W285" i="12"/>
  <c r="AD285" i="12"/>
  <c r="AG285" i="12" s="1"/>
  <c r="A288" i="12"/>
  <c r="S287" i="12"/>
  <c r="B287" i="12"/>
  <c r="T287" i="12"/>
  <c r="AC286" i="12"/>
  <c r="AA286" i="12"/>
  <c r="AB286" i="12"/>
  <c r="AF286" i="12" s="1"/>
  <c r="AJ286" i="12"/>
  <c r="AK286" i="12"/>
  <c r="P288" i="12"/>
  <c r="Q287" i="12"/>
  <c r="R287" i="12"/>
  <c r="Y287" i="12" l="1"/>
  <c r="X287" i="12"/>
  <c r="AD286" i="12"/>
  <c r="AG286" i="12" s="1"/>
  <c r="Q288" i="12"/>
  <c r="P289" i="12"/>
  <c r="R288" i="12"/>
  <c r="AB287" i="12"/>
  <c r="AF287" i="12" s="1"/>
  <c r="AK287" i="12"/>
  <c r="AJ287" i="12"/>
  <c r="AC287" i="12"/>
  <c r="AA287" i="12"/>
  <c r="T288" i="12"/>
  <c r="U288" i="12" s="1"/>
  <c r="U287" i="12"/>
  <c r="W286" i="12"/>
  <c r="V287" i="12"/>
  <c r="A289" i="12"/>
  <c r="S288" i="12"/>
  <c r="B288" i="12"/>
  <c r="AI287" i="12"/>
  <c r="X288" i="12" l="1"/>
  <c r="Y288" i="12"/>
  <c r="AD287" i="12"/>
  <c r="AG287" i="12" s="1"/>
  <c r="W287" i="12"/>
  <c r="V288" i="12"/>
  <c r="S289" i="12"/>
  <c r="A290" i="12"/>
  <c r="B289" i="12"/>
  <c r="T289" i="12"/>
  <c r="Q289" i="12"/>
  <c r="P290" i="12"/>
  <c r="R289" i="12"/>
  <c r="AB288" i="12"/>
  <c r="AF288" i="12" s="1"/>
  <c r="AA288" i="12"/>
  <c r="AK288" i="12"/>
  <c r="AJ288" i="12"/>
  <c r="AC288" i="12"/>
  <c r="AD288" i="12" s="1"/>
  <c r="AG288" i="12" s="1"/>
  <c r="AI288" i="12"/>
  <c r="Y289" i="12" l="1"/>
  <c r="X289" i="12"/>
  <c r="AI289" i="12"/>
  <c r="T290" i="12"/>
  <c r="U289" i="12"/>
  <c r="Q290" i="12"/>
  <c r="P291" i="12"/>
  <c r="R290" i="12"/>
  <c r="AA289" i="12"/>
  <c r="AK289" i="12"/>
  <c r="AB289" i="12"/>
  <c r="AF289" i="12" s="1"/>
  <c r="AC289" i="12"/>
  <c r="AJ289" i="12"/>
  <c r="W288" i="12"/>
  <c r="V289" i="12"/>
  <c r="B290" i="12"/>
  <c r="A291" i="12"/>
  <c r="S290" i="12"/>
  <c r="X290" i="12" l="1"/>
  <c r="Y290" i="12"/>
  <c r="AI290" i="12"/>
  <c r="R291" i="12"/>
  <c r="Q291" i="12"/>
  <c r="P292" i="12"/>
  <c r="S291" i="12"/>
  <c r="A292" i="12"/>
  <c r="B291" i="12"/>
  <c r="AA290" i="12"/>
  <c r="AJ290" i="12"/>
  <c r="AB290" i="12"/>
  <c r="AF290" i="12" s="1"/>
  <c r="AC290" i="12"/>
  <c r="AK290" i="12"/>
  <c r="AD289" i="12"/>
  <c r="AG289" i="12" s="1"/>
  <c r="V290" i="12"/>
  <c r="W289" i="12"/>
  <c r="T291" i="12"/>
  <c r="U290" i="12"/>
  <c r="AI291" i="12" l="1"/>
  <c r="AD290" i="12"/>
  <c r="AG290" i="12" s="1"/>
  <c r="Y291" i="12"/>
  <c r="X291" i="12"/>
  <c r="V291" i="12"/>
  <c r="W290" i="12"/>
  <c r="AA291" i="12"/>
  <c r="AB291" i="12"/>
  <c r="AF291" i="12" s="1"/>
  <c r="AK291" i="12"/>
  <c r="AC291" i="12"/>
  <c r="AJ291" i="12"/>
  <c r="P293" i="12"/>
  <c r="Q292" i="12"/>
  <c r="R292" i="12"/>
  <c r="A293" i="12"/>
  <c r="S292" i="12"/>
  <c r="B292" i="12"/>
  <c r="T292" i="12"/>
  <c r="U292" i="12"/>
  <c r="U291" i="12"/>
  <c r="AD291" i="12" l="1"/>
  <c r="AG291" i="12" s="1"/>
  <c r="AI292" i="12"/>
  <c r="X292" i="12"/>
  <c r="Y292" i="12"/>
  <c r="AA292" i="12"/>
  <c r="AJ292" i="12"/>
  <c r="AB292" i="12"/>
  <c r="AF292" i="12" s="1"/>
  <c r="AK292" i="12"/>
  <c r="AC292" i="12"/>
  <c r="AD292" i="12" s="1"/>
  <c r="AG292" i="12" s="1"/>
  <c r="V292" i="12"/>
  <c r="W291" i="12"/>
  <c r="S293" i="12"/>
  <c r="A294" i="12"/>
  <c r="B293" i="12"/>
  <c r="T293" i="12"/>
  <c r="P294" i="12"/>
  <c r="Q293" i="12"/>
  <c r="R293" i="12"/>
  <c r="Y293" i="12" l="1"/>
  <c r="X293" i="12"/>
  <c r="AA293" i="12"/>
  <c r="AK293" i="12"/>
  <c r="AB293" i="12"/>
  <c r="AF293" i="12" s="1"/>
  <c r="AC293" i="12"/>
  <c r="AJ293" i="12"/>
  <c r="P295" i="12"/>
  <c r="Q294" i="12"/>
  <c r="R294" i="12"/>
  <c r="A295" i="12"/>
  <c r="S294" i="12"/>
  <c r="B294" i="12"/>
  <c r="W292" i="12"/>
  <c r="V293" i="12"/>
  <c r="T294" i="12"/>
  <c r="U294" i="12" s="1"/>
  <c r="U293" i="12"/>
  <c r="AI293" i="12"/>
  <c r="X294" i="12" l="1"/>
  <c r="Y294" i="12"/>
  <c r="AI294" i="12"/>
  <c r="V294" i="12"/>
  <c r="W293" i="12"/>
  <c r="Q295" i="12"/>
  <c r="P296" i="12"/>
  <c r="R295" i="12"/>
  <c r="A296" i="12"/>
  <c r="S295" i="12"/>
  <c r="B295" i="12"/>
  <c r="AB294" i="12"/>
  <c r="AF294" i="12" s="1"/>
  <c r="AK294" i="12"/>
  <c r="AA294" i="12"/>
  <c r="AJ294" i="12"/>
  <c r="AC294" i="12"/>
  <c r="AD294" i="12" s="1"/>
  <c r="AG294" i="12" s="1"/>
  <c r="AD293" i="12"/>
  <c r="AG293" i="12" s="1"/>
  <c r="T295" i="12"/>
  <c r="U295" i="12" s="1"/>
  <c r="Y295" i="12" l="1"/>
  <c r="X295" i="12"/>
  <c r="AI295" i="12"/>
  <c r="T296" i="12"/>
  <c r="AK295" i="12"/>
  <c r="AA295" i="12"/>
  <c r="AJ295" i="12"/>
  <c r="AC295" i="12"/>
  <c r="AB295" i="12"/>
  <c r="AF295" i="12" s="1"/>
  <c r="W294" i="12"/>
  <c r="V295" i="12"/>
  <c r="P297" i="12"/>
  <c r="Q296" i="12"/>
  <c r="R296" i="12"/>
  <c r="S296" i="12"/>
  <c r="B296" i="12"/>
  <c r="A297" i="12"/>
  <c r="X296" i="12" l="1"/>
  <c r="Y296" i="12"/>
  <c r="AI296" i="12"/>
  <c r="V296" i="12"/>
  <c r="W295" i="12"/>
  <c r="A298" i="12"/>
  <c r="S297" i="12"/>
  <c r="B297" i="12"/>
  <c r="AJ296" i="12"/>
  <c r="AC296" i="12"/>
  <c r="AB296" i="12"/>
  <c r="AF296" i="12" s="1"/>
  <c r="AK296" i="12"/>
  <c r="AA296" i="12"/>
  <c r="AD295" i="12"/>
  <c r="AG295" i="12" s="1"/>
  <c r="T297" i="12"/>
  <c r="U296" i="12"/>
  <c r="P298" i="12"/>
  <c r="Q297" i="12"/>
  <c r="R297" i="12"/>
  <c r="Y297" i="12" l="1"/>
  <c r="X297" i="12"/>
  <c r="AD296" i="12"/>
  <c r="AG296" i="12" s="1"/>
  <c r="Q298" i="12"/>
  <c r="P299" i="12"/>
  <c r="R298" i="12"/>
  <c r="T298" i="12"/>
  <c r="U297" i="12"/>
  <c r="AK297" i="12"/>
  <c r="AB297" i="12"/>
  <c r="AF297" i="12" s="1"/>
  <c r="AA297" i="12"/>
  <c r="AJ297" i="12"/>
  <c r="AC297" i="12"/>
  <c r="W296" i="12"/>
  <c r="V297" i="12"/>
  <c r="A299" i="12"/>
  <c r="S298" i="12"/>
  <c r="B298" i="12"/>
  <c r="AI297" i="12"/>
  <c r="X298" i="12" l="1"/>
  <c r="Y298" i="12"/>
  <c r="AD297" i="12"/>
  <c r="AG297" i="12" s="1"/>
  <c r="B299" i="12"/>
  <c r="A300" i="12"/>
  <c r="S299" i="12"/>
  <c r="AA298" i="12"/>
  <c r="AK298" i="12"/>
  <c r="AJ298" i="12"/>
  <c r="AC298" i="12"/>
  <c r="AB298" i="12"/>
  <c r="AF298" i="12" s="1"/>
  <c r="W297" i="12"/>
  <c r="V298" i="12"/>
  <c r="Q299" i="12"/>
  <c r="AI299" i="12" s="1"/>
  <c r="P300" i="12"/>
  <c r="R299" i="12"/>
  <c r="T299" i="12"/>
  <c r="U298" i="12"/>
  <c r="AI298" i="12"/>
  <c r="Y299" i="12" l="1"/>
  <c r="X299" i="12"/>
  <c r="AB299" i="12"/>
  <c r="AF299" i="12" s="1"/>
  <c r="AK299" i="12"/>
  <c r="AJ299" i="12"/>
  <c r="AA299" i="12"/>
  <c r="AC299" i="12"/>
  <c r="AD298" i="12"/>
  <c r="AG298" i="12" s="1"/>
  <c r="T300" i="12"/>
  <c r="U299" i="12"/>
  <c r="V299" i="12"/>
  <c r="W298" i="12"/>
  <c r="P301" i="12"/>
  <c r="Q300" i="12"/>
  <c r="R300" i="12"/>
  <c r="S300" i="12"/>
  <c r="B300" i="12"/>
  <c r="A301" i="12"/>
  <c r="AD299" i="12" l="1"/>
  <c r="AG299" i="12" s="1"/>
  <c r="X300" i="12"/>
  <c r="Y300" i="12"/>
  <c r="V300" i="12"/>
  <c r="W299" i="12"/>
  <c r="T301" i="12"/>
  <c r="U301" i="12" s="1"/>
  <c r="A302" i="12"/>
  <c r="S301" i="12"/>
  <c r="B301" i="12"/>
  <c r="AA300" i="12"/>
  <c r="AK300" i="12"/>
  <c r="AJ300" i="12"/>
  <c r="AC300" i="12"/>
  <c r="AB300" i="12"/>
  <c r="AF300" i="12" s="1"/>
  <c r="P302" i="12"/>
  <c r="Q301" i="12"/>
  <c r="R301" i="12"/>
  <c r="U300" i="12"/>
  <c r="AI300" i="12"/>
  <c r="Y301" i="12" l="1"/>
  <c r="X301" i="12"/>
  <c r="Q302" i="12"/>
  <c r="P303" i="12"/>
  <c r="R302" i="12"/>
  <c r="AI301" i="12"/>
  <c r="A303" i="12"/>
  <c r="S302" i="12"/>
  <c r="B302" i="12"/>
  <c r="AB301" i="12"/>
  <c r="AF301" i="12" s="1"/>
  <c r="AK301" i="12"/>
  <c r="AJ301" i="12"/>
  <c r="AC301" i="12"/>
  <c r="AA301" i="12"/>
  <c r="T302" i="12"/>
  <c r="AD300" i="12"/>
  <c r="AG300" i="12" s="1"/>
  <c r="W300" i="12"/>
  <c r="V301" i="12"/>
  <c r="X302" i="12" l="1"/>
  <c r="Y302" i="12"/>
  <c r="AD301" i="12"/>
  <c r="AG301" i="12" s="1"/>
  <c r="T303" i="12"/>
  <c r="U302" i="12"/>
  <c r="U303" i="12"/>
  <c r="W301" i="12"/>
  <c r="V302" i="12"/>
  <c r="Q303" i="12"/>
  <c r="AI303" i="12" s="1"/>
  <c r="P304" i="12"/>
  <c r="R303" i="12"/>
  <c r="B303" i="12"/>
  <c r="A304" i="12"/>
  <c r="S303" i="12"/>
  <c r="AA302" i="12"/>
  <c r="AK302" i="12"/>
  <c r="AJ302" i="12"/>
  <c r="AC302" i="12"/>
  <c r="AB302" i="12"/>
  <c r="AF302" i="12" s="1"/>
  <c r="AI302" i="12"/>
  <c r="X303" i="12" l="1"/>
  <c r="Y303" i="12"/>
  <c r="R304" i="12"/>
  <c r="Q304" i="12"/>
  <c r="AI304" i="12" s="1"/>
  <c r="P305" i="12"/>
  <c r="S304" i="12"/>
  <c r="B304" i="12"/>
  <c r="A305" i="12"/>
  <c r="AD302" i="12"/>
  <c r="AG302" i="12" s="1"/>
  <c r="AK303" i="12"/>
  <c r="AA303" i="12"/>
  <c r="AJ303" i="12"/>
  <c r="AC303" i="12"/>
  <c r="AB303" i="12"/>
  <c r="AF303" i="12" s="1"/>
  <c r="T304" i="12"/>
  <c r="V303" i="12"/>
  <c r="W302" i="12"/>
  <c r="Y304" i="12" l="1"/>
  <c r="X304" i="12"/>
  <c r="V304" i="12"/>
  <c r="W303" i="12"/>
  <c r="T305" i="12"/>
  <c r="U305" i="12"/>
  <c r="U304" i="12"/>
  <c r="P306" i="12"/>
  <c r="R305" i="12"/>
  <c r="Q305" i="12"/>
  <c r="S305" i="12"/>
  <c r="B305" i="12"/>
  <c r="A306" i="12"/>
  <c r="AI305" i="12"/>
  <c r="AD303" i="12"/>
  <c r="AG303" i="12" s="1"/>
  <c r="AC304" i="12"/>
  <c r="AK304" i="12"/>
  <c r="AA304" i="12"/>
  <c r="AB304" i="12"/>
  <c r="AF304" i="12" s="1"/>
  <c r="AJ304" i="12"/>
  <c r="Y305" i="12" l="1"/>
  <c r="X305" i="12"/>
  <c r="AD304" i="12"/>
  <c r="AG304" i="12" s="1"/>
  <c r="A307" i="12"/>
  <c r="S306" i="12"/>
  <c r="B306" i="12"/>
  <c r="T306" i="12"/>
  <c r="AB305" i="12"/>
  <c r="AF305" i="12" s="1"/>
  <c r="AK305" i="12"/>
  <c r="AJ305" i="12"/>
  <c r="AC305" i="12"/>
  <c r="AA305" i="12"/>
  <c r="P307" i="12"/>
  <c r="Q306" i="12"/>
  <c r="R306" i="12"/>
  <c r="W304" i="12"/>
  <c r="V305" i="12"/>
  <c r="X306" i="12" l="1"/>
  <c r="Y306" i="12"/>
  <c r="AD305" i="12"/>
  <c r="AG305" i="12" s="1"/>
  <c r="AB306" i="12"/>
  <c r="AF306" i="12" s="1"/>
  <c r="AK306" i="12"/>
  <c r="AJ306" i="12"/>
  <c r="AC306" i="12"/>
  <c r="AD306" i="12" s="1"/>
  <c r="AG306" i="12" s="1"/>
  <c r="AA306" i="12"/>
  <c r="AI306" i="12"/>
  <c r="Q307" i="12"/>
  <c r="P308" i="12"/>
  <c r="R307" i="12"/>
  <c r="W305" i="12"/>
  <c r="V306" i="12"/>
  <c r="T307" i="12"/>
  <c r="U307" i="12" s="1"/>
  <c r="U306" i="12"/>
  <c r="A308" i="12"/>
  <c r="S307" i="12"/>
  <c r="B307" i="12"/>
  <c r="Y307" i="12" l="1"/>
  <c r="X307" i="12"/>
  <c r="W306" i="12"/>
  <c r="V307" i="12"/>
  <c r="B308" i="12"/>
  <c r="A309" i="12"/>
  <c r="S308" i="12"/>
  <c r="Q308" i="12"/>
  <c r="P309" i="12"/>
  <c r="R308" i="12"/>
  <c r="AB307" i="12"/>
  <c r="AF307" i="12" s="1"/>
  <c r="AA307" i="12"/>
  <c r="AK307" i="12"/>
  <c r="AJ307" i="12"/>
  <c r="AC307" i="12"/>
  <c r="T308" i="12"/>
  <c r="AI307" i="12"/>
  <c r="X308" i="12" l="1"/>
  <c r="Y308" i="12"/>
  <c r="AD307" i="12"/>
  <c r="AG307" i="12" s="1"/>
  <c r="AB308" i="12"/>
  <c r="AF308" i="12" s="1"/>
  <c r="AJ308" i="12"/>
  <c r="AC308" i="12"/>
  <c r="AD308" i="12" s="1"/>
  <c r="AG308" i="12" s="1"/>
  <c r="AA308" i="12"/>
  <c r="AK308" i="12"/>
  <c r="AI308" i="12"/>
  <c r="V308" i="12"/>
  <c r="W307" i="12"/>
  <c r="T309" i="12"/>
  <c r="U308" i="12"/>
  <c r="P310" i="12"/>
  <c r="R309" i="12"/>
  <c r="Q309" i="12"/>
  <c r="S309" i="12"/>
  <c r="B309" i="12"/>
  <c r="A310" i="12"/>
  <c r="Y309" i="12" l="1"/>
  <c r="X309" i="12"/>
  <c r="A311" i="12"/>
  <c r="S310" i="12"/>
  <c r="B310" i="12"/>
  <c r="T310" i="12"/>
  <c r="U310" i="12" s="1"/>
  <c r="AB309" i="12"/>
  <c r="AF309" i="12" s="1"/>
  <c r="AK309" i="12"/>
  <c r="AJ309" i="12"/>
  <c r="AC309" i="12"/>
  <c r="AA309" i="12"/>
  <c r="P311" i="12"/>
  <c r="Q310" i="12"/>
  <c r="R310" i="12"/>
  <c r="U309" i="12"/>
  <c r="AI309" i="12"/>
  <c r="V309" i="12"/>
  <c r="W308" i="12"/>
  <c r="X310" i="12" l="1"/>
  <c r="Y310" i="12"/>
  <c r="AD309" i="12"/>
  <c r="AG309" i="12" s="1"/>
  <c r="AB310" i="12"/>
  <c r="AF310" i="12" s="1"/>
  <c r="AK310" i="12"/>
  <c r="AJ310" i="12"/>
  <c r="AC310" i="12"/>
  <c r="AA310" i="12"/>
  <c r="AI310" i="12"/>
  <c r="W309" i="12"/>
  <c r="V310" i="12"/>
  <c r="Q311" i="12"/>
  <c r="P312" i="12"/>
  <c r="R311" i="12"/>
  <c r="T311" i="12"/>
  <c r="A312" i="12"/>
  <c r="S311" i="12"/>
  <c r="B311" i="12"/>
  <c r="Y311" i="12" l="1"/>
  <c r="X311" i="12"/>
  <c r="AD310" i="12"/>
  <c r="AG310" i="12" s="1"/>
  <c r="W310" i="12"/>
  <c r="V311" i="12"/>
  <c r="B312" i="12"/>
  <c r="A313" i="12"/>
  <c r="S312" i="12"/>
  <c r="Q312" i="12"/>
  <c r="P313" i="12"/>
  <c r="R312" i="12"/>
  <c r="AB311" i="12"/>
  <c r="AF311" i="12" s="1"/>
  <c r="AA311" i="12"/>
  <c r="AK311" i="12"/>
  <c r="AJ311" i="12"/>
  <c r="AC311" i="12"/>
  <c r="T312" i="12"/>
  <c r="U312" i="12" s="1"/>
  <c r="U311" i="12"/>
  <c r="AI312" i="12"/>
  <c r="AI311" i="12"/>
  <c r="AD311" i="12" l="1"/>
  <c r="AG311" i="12" s="1"/>
  <c r="X312" i="12"/>
  <c r="Y312" i="12"/>
  <c r="T313" i="12"/>
  <c r="P314" i="12"/>
  <c r="Q313" i="12"/>
  <c r="R313" i="12"/>
  <c r="A314" i="12"/>
  <c r="B313" i="12"/>
  <c r="S313" i="12"/>
  <c r="AB312" i="12"/>
  <c r="AF312" i="12" s="1"/>
  <c r="AC312" i="12"/>
  <c r="AA312" i="12"/>
  <c r="AK312" i="12"/>
  <c r="AJ312" i="12"/>
  <c r="V312" i="12"/>
  <c r="W311" i="12"/>
  <c r="AI313" i="12" l="1"/>
  <c r="AD312" i="12"/>
  <c r="AG312" i="12" s="1"/>
  <c r="Y313" i="12"/>
  <c r="X313" i="12"/>
  <c r="AK313" i="12"/>
  <c r="AB313" i="12"/>
  <c r="AF313" i="12" s="1"/>
  <c r="AC313" i="12"/>
  <c r="AA313" i="12"/>
  <c r="AJ313" i="12"/>
  <c r="Q314" i="12"/>
  <c r="P315" i="12"/>
  <c r="R314" i="12"/>
  <c r="A315" i="12"/>
  <c r="S314" i="12"/>
  <c r="B314" i="12"/>
  <c r="T314" i="12"/>
  <c r="U314" i="12" s="1"/>
  <c r="U313" i="12"/>
  <c r="V313" i="12"/>
  <c r="W312" i="12"/>
  <c r="AI314" i="12"/>
  <c r="X314" i="12" l="1"/>
  <c r="Y314" i="12"/>
  <c r="AD313" i="12"/>
  <c r="AG313" i="12" s="1"/>
  <c r="A316" i="12"/>
  <c r="B315" i="12"/>
  <c r="S315" i="12"/>
  <c r="P316" i="12"/>
  <c r="Q315" i="12"/>
  <c r="R315" i="12"/>
  <c r="V314" i="12"/>
  <c r="W313" i="12"/>
  <c r="T315" i="12"/>
  <c r="AA314" i="12"/>
  <c r="AJ314" i="12"/>
  <c r="AB314" i="12"/>
  <c r="AF314" i="12" s="1"/>
  <c r="AC314" i="12"/>
  <c r="AK314" i="12"/>
  <c r="Y315" i="12" l="1"/>
  <c r="X315" i="12"/>
  <c r="AI315" i="12"/>
  <c r="V315" i="12"/>
  <c r="W314" i="12"/>
  <c r="T316" i="12"/>
  <c r="U315" i="12"/>
  <c r="AK315" i="12"/>
  <c r="AB315" i="12"/>
  <c r="AF315" i="12" s="1"/>
  <c r="AC315" i="12"/>
  <c r="AA315" i="12"/>
  <c r="AJ315" i="12"/>
  <c r="AD314" i="12"/>
  <c r="AG314" i="12" s="1"/>
  <c r="Q316" i="12"/>
  <c r="P317" i="12"/>
  <c r="R316" i="12"/>
  <c r="A317" i="12"/>
  <c r="S316" i="12"/>
  <c r="B316" i="12"/>
  <c r="AI316" i="12" l="1"/>
  <c r="X316" i="12"/>
  <c r="Y316" i="12"/>
  <c r="AD315" i="12"/>
  <c r="AG315" i="12" s="1"/>
  <c r="AK316" i="12"/>
  <c r="AC316" i="12"/>
  <c r="AA316" i="12"/>
  <c r="AB316" i="12"/>
  <c r="AF316" i="12" s="1"/>
  <c r="AJ316" i="12"/>
  <c r="P318" i="12"/>
  <c r="Q317" i="12"/>
  <c r="R317" i="12"/>
  <c r="AI317" i="12" s="1"/>
  <c r="T317" i="12"/>
  <c r="U317" i="12" s="1"/>
  <c r="U316" i="12"/>
  <c r="A318" i="12"/>
  <c r="B317" i="12"/>
  <c r="S317" i="12"/>
  <c r="V316" i="12"/>
  <c r="W315" i="12"/>
  <c r="Y317" i="12" l="1"/>
  <c r="X317" i="12"/>
  <c r="AK317" i="12"/>
  <c r="AB317" i="12"/>
  <c r="AF317" i="12" s="1"/>
  <c r="AJ317" i="12"/>
  <c r="AC317" i="12"/>
  <c r="AD317" i="12" s="1"/>
  <c r="AG317" i="12" s="1"/>
  <c r="AA317" i="12"/>
  <c r="T318" i="12"/>
  <c r="U318" i="12" s="1"/>
  <c r="V317" i="12"/>
  <c r="W316" i="12"/>
  <c r="A319" i="12"/>
  <c r="S318" i="12"/>
  <c r="B318" i="12"/>
  <c r="Q318" i="12"/>
  <c r="P319" i="12"/>
  <c r="R318" i="12"/>
  <c r="AD316" i="12"/>
  <c r="AG316" i="12" s="1"/>
  <c r="X318" i="12" l="1"/>
  <c r="Y318" i="12"/>
  <c r="P320" i="12"/>
  <c r="Q319" i="12"/>
  <c r="R319" i="12"/>
  <c r="AK318" i="12"/>
  <c r="AJ318" i="12"/>
  <c r="AC318" i="12"/>
  <c r="AA318" i="12"/>
  <c r="AB318" i="12"/>
  <c r="AF318" i="12" s="1"/>
  <c r="A320" i="12"/>
  <c r="B319" i="12"/>
  <c r="S319" i="12"/>
  <c r="V318" i="12"/>
  <c r="W317" i="12"/>
  <c r="T319" i="12"/>
  <c r="AI318" i="12"/>
  <c r="Y319" i="12" l="1"/>
  <c r="X319" i="12"/>
  <c r="AI319" i="12"/>
  <c r="T320" i="12"/>
  <c r="U320" i="12" s="1"/>
  <c r="U319" i="12"/>
  <c r="AK319" i="12"/>
  <c r="AB319" i="12"/>
  <c r="AF319" i="12" s="1"/>
  <c r="AC319" i="12"/>
  <c r="AA319" i="12"/>
  <c r="AJ319" i="12"/>
  <c r="AD318" i="12"/>
  <c r="AG318" i="12" s="1"/>
  <c r="V319" i="12"/>
  <c r="W318" i="12"/>
  <c r="A321" i="12"/>
  <c r="S320" i="12"/>
  <c r="B320" i="12"/>
  <c r="Q320" i="12"/>
  <c r="P321" i="12"/>
  <c r="R320" i="12"/>
  <c r="X320" i="12" l="1"/>
  <c r="Y320" i="12"/>
  <c r="AD319" i="12"/>
  <c r="AG319" i="12" s="1"/>
  <c r="AJ320" i="12"/>
  <c r="AA320" i="12"/>
  <c r="AB320" i="12"/>
  <c r="AF320" i="12" s="1"/>
  <c r="AC320" i="12"/>
  <c r="AK320" i="12"/>
  <c r="V320" i="12"/>
  <c r="W319" i="12"/>
  <c r="T321" i="12"/>
  <c r="P322" i="12"/>
  <c r="Q321" i="12"/>
  <c r="R321" i="12"/>
  <c r="AI320" i="12"/>
  <c r="B321" i="12"/>
  <c r="A322" i="12"/>
  <c r="S321" i="12"/>
  <c r="Y321" i="12" l="1"/>
  <c r="X321" i="12"/>
  <c r="AI321" i="12"/>
  <c r="AD320" i="12"/>
  <c r="AG320" i="12" s="1"/>
  <c r="A323" i="12"/>
  <c r="S322" i="12"/>
  <c r="B322" i="12"/>
  <c r="T322" i="12"/>
  <c r="U322" i="12" s="1"/>
  <c r="U321" i="12"/>
  <c r="AB321" i="12"/>
  <c r="AF321" i="12" s="1"/>
  <c r="AJ321" i="12"/>
  <c r="AC321" i="12"/>
  <c r="AA321" i="12"/>
  <c r="AK321" i="12"/>
  <c r="P323" i="12"/>
  <c r="R322" i="12"/>
  <c r="Q322" i="12"/>
  <c r="V321" i="12"/>
  <c r="W320" i="12"/>
  <c r="X322" i="12" l="1"/>
  <c r="Y322" i="12"/>
  <c r="AD321" i="12"/>
  <c r="AG321" i="12" s="1"/>
  <c r="AB322" i="12"/>
  <c r="AF322" i="12" s="1"/>
  <c r="AK322" i="12"/>
  <c r="AC322" i="12"/>
  <c r="AD322" i="12" s="1"/>
  <c r="AG322" i="12" s="1"/>
  <c r="AA322" i="12"/>
  <c r="AJ322" i="12"/>
  <c r="P324" i="12"/>
  <c r="Q323" i="12"/>
  <c r="R323" i="12"/>
  <c r="V322" i="12"/>
  <c r="W321" i="12"/>
  <c r="AI322" i="12"/>
  <c r="A324" i="12"/>
  <c r="B323" i="12"/>
  <c r="S323" i="12"/>
  <c r="T323" i="12"/>
  <c r="Y323" i="12" l="1"/>
  <c r="X323" i="12"/>
  <c r="AI323" i="12"/>
  <c r="AK323" i="12"/>
  <c r="AB323" i="12"/>
  <c r="AF323" i="12" s="1"/>
  <c r="AC323" i="12"/>
  <c r="AA323" i="12"/>
  <c r="AJ323" i="12"/>
  <c r="Q324" i="12"/>
  <c r="P325" i="12"/>
  <c r="R324" i="12"/>
  <c r="T324" i="12"/>
  <c r="U324" i="12" s="1"/>
  <c r="A325" i="12"/>
  <c r="S324" i="12"/>
  <c r="B324" i="12"/>
  <c r="V323" i="12"/>
  <c r="W322" i="12"/>
  <c r="U323" i="12"/>
  <c r="AI324" i="12" l="1"/>
  <c r="X324" i="12"/>
  <c r="Y324" i="12"/>
  <c r="V324" i="12"/>
  <c r="W323" i="12"/>
  <c r="A326" i="12"/>
  <c r="B325" i="12"/>
  <c r="S325" i="12"/>
  <c r="P326" i="12"/>
  <c r="Q325" i="12"/>
  <c r="R325" i="12"/>
  <c r="AI325" i="12" s="1"/>
  <c r="AD323" i="12"/>
  <c r="AG323" i="12" s="1"/>
  <c r="AA324" i="12"/>
  <c r="AB324" i="12"/>
  <c r="AF324" i="12" s="1"/>
  <c r="AJ324" i="12"/>
  <c r="AK324" i="12"/>
  <c r="AC324" i="12"/>
  <c r="T325" i="12"/>
  <c r="Y325" i="12" l="1"/>
  <c r="X325" i="12"/>
  <c r="AD324" i="12"/>
  <c r="AG324" i="12" s="1"/>
  <c r="Q326" i="12"/>
  <c r="P327" i="12"/>
  <c r="R326" i="12"/>
  <c r="A327" i="12"/>
  <c r="S326" i="12"/>
  <c r="B326" i="12"/>
  <c r="T326" i="12"/>
  <c r="U326" i="12" s="1"/>
  <c r="V325" i="12"/>
  <c r="W324" i="12"/>
  <c r="AK325" i="12"/>
  <c r="AB325" i="12"/>
  <c r="AF325" i="12" s="1"/>
  <c r="AA325" i="12"/>
  <c r="AJ325" i="12"/>
  <c r="AC325" i="12"/>
  <c r="AD325" i="12" s="1"/>
  <c r="AG325" i="12" s="1"/>
  <c r="U325" i="12"/>
  <c r="AI326" i="12" l="1"/>
  <c r="X326" i="12"/>
  <c r="Y326" i="12"/>
  <c r="T327" i="12"/>
  <c r="A328" i="12"/>
  <c r="B327" i="12"/>
  <c r="S327" i="12"/>
  <c r="AK326" i="12"/>
  <c r="AA326" i="12"/>
  <c r="AJ326" i="12"/>
  <c r="AB326" i="12"/>
  <c r="AF326" i="12" s="1"/>
  <c r="AC326" i="12"/>
  <c r="V326" i="12"/>
  <c r="W325" i="12"/>
  <c r="P328" i="12"/>
  <c r="Q327" i="12"/>
  <c r="R327" i="12"/>
  <c r="Y327" i="12" l="1"/>
  <c r="X327" i="12"/>
  <c r="AD326" i="12"/>
  <c r="AG326" i="12" s="1"/>
  <c r="A329" i="12"/>
  <c r="S328" i="12"/>
  <c r="B328" i="12"/>
  <c r="T328" i="12"/>
  <c r="U328" i="12" s="1"/>
  <c r="U327" i="12"/>
  <c r="Q328" i="12"/>
  <c r="P329" i="12"/>
  <c r="R328" i="12"/>
  <c r="AI327" i="12"/>
  <c r="V327" i="12"/>
  <c r="W326" i="12"/>
  <c r="AK327" i="12"/>
  <c r="AB327" i="12"/>
  <c r="AF327" i="12" s="1"/>
  <c r="AJ327" i="12"/>
  <c r="AC327" i="12"/>
  <c r="AA327" i="12"/>
  <c r="X328" i="12" l="1"/>
  <c r="Y328" i="12"/>
  <c r="AD327" i="12"/>
  <c r="AG327" i="12" s="1"/>
  <c r="V328" i="12"/>
  <c r="W327" i="12"/>
  <c r="AK328" i="12"/>
  <c r="AA328" i="12"/>
  <c r="AB328" i="12"/>
  <c r="AF328" i="12" s="1"/>
  <c r="AC328" i="12"/>
  <c r="AJ328" i="12"/>
  <c r="AI328" i="12"/>
  <c r="Q329" i="12"/>
  <c r="P330" i="12"/>
  <c r="R329" i="12"/>
  <c r="T329" i="12"/>
  <c r="B329" i="12"/>
  <c r="A330" i="12"/>
  <c r="S329" i="12"/>
  <c r="Y329" i="12" l="1"/>
  <c r="X329" i="12"/>
  <c r="AD328" i="12"/>
  <c r="AG328" i="12" s="1"/>
  <c r="AI329" i="12"/>
  <c r="P331" i="12"/>
  <c r="Q330" i="12"/>
  <c r="R330" i="12"/>
  <c r="AI330" i="12" s="1"/>
  <c r="T330" i="12"/>
  <c r="U329" i="12"/>
  <c r="AB329" i="12"/>
  <c r="AF329" i="12" s="1"/>
  <c r="AJ329" i="12"/>
  <c r="AC329" i="12"/>
  <c r="AA329" i="12"/>
  <c r="AK329" i="12"/>
  <c r="S330" i="12"/>
  <c r="B330" i="12"/>
  <c r="A331" i="12"/>
  <c r="V329" i="12"/>
  <c r="W328" i="12"/>
  <c r="X330" i="12" l="1"/>
  <c r="Y330" i="12"/>
  <c r="AD329" i="12"/>
  <c r="AG329" i="12" s="1"/>
  <c r="V330" i="12"/>
  <c r="W329" i="12"/>
  <c r="S331" i="12"/>
  <c r="A332" i="12"/>
  <c r="B331" i="12"/>
  <c r="AB330" i="12"/>
  <c r="AF330" i="12" s="1"/>
  <c r="AK330" i="12"/>
  <c r="AJ330" i="12"/>
  <c r="AC330" i="12"/>
  <c r="AA330" i="12"/>
  <c r="T331" i="12"/>
  <c r="U330" i="12"/>
  <c r="R331" i="12"/>
  <c r="P332" i="12"/>
  <c r="Q331" i="12"/>
  <c r="Y331" i="12" l="1"/>
  <c r="X331" i="12"/>
  <c r="AD330" i="12"/>
  <c r="AG330" i="12" s="1"/>
  <c r="AI331" i="12"/>
  <c r="P333" i="12"/>
  <c r="Q332" i="12"/>
  <c r="R332" i="12"/>
  <c r="AK331" i="12"/>
  <c r="AB331" i="12"/>
  <c r="AF331" i="12" s="1"/>
  <c r="AJ331" i="12"/>
  <c r="AC331" i="12"/>
  <c r="AA331" i="12"/>
  <c r="T332" i="12"/>
  <c r="U332" i="12" s="1"/>
  <c r="U331" i="12"/>
  <c r="S332" i="12"/>
  <c r="B332" i="12"/>
  <c r="A333" i="12"/>
  <c r="W330" i="12"/>
  <c r="V331" i="12"/>
  <c r="X332" i="12" l="1"/>
  <c r="Y332" i="12"/>
  <c r="AD331" i="12"/>
  <c r="AG331" i="12" s="1"/>
  <c r="R333" i="12"/>
  <c r="P334" i="12"/>
  <c r="Q333" i="12"/>
  <c r="S333" i="12"/>
  <c r="A334" i="12"/>
  <c r="B333" i="12"/>
  <c r="V332" i="12"/>
  <c r="W331" i="12"/>
  <c r="AJ332" i="12"/>
  <c r="AK332" i="12"/>
  <c r="AC332" i="12"/>
  <c r="AA332" i="12"/>
  <c r="AB332" i="12"/>
  <c r="AF332" i="12" s="1"/>
  <c r="T333" i="12"/>
  <c r="AI333" i="12"/>
  <c r="AI332" i="12"/>
  <c r="Y333" i="12" l="1"/>
  <c r="X333" i="12"/>
  <c r="AD332" i="12"/>
  <c r="AG332" i="12" s="1"/>
  <c r="W332" i="12"/>
  <c r="V333" i="12"/>
  <c r="T334" i="12"/>
  <c r="U333" i="12"/>
  <c r="AK333" i="12"/>
  <c r="AB333" i="12"/>
  <c r="AF333" i="12" s="1"/>
  <c r="AJ333" i="12"/>
  <c r="AC333" i="12"/>
  <c r="AA333" i="12"/>
  <c r="S334" i="12"/>
  <c r="B334" i="12"/>
  <c r="A335" i="12"/>
  <c r="P335" i="12"/>
  <c r="Q334" i="12"/>
  <c r="R334" i="12"/>
  <c r="X334" i="12" l="1"/>
  <c r="Y334" i="12"/>
  <c r="S335" i="12"/>
  <c r="A336" i="12"/>
  <c r="B335" i="12"/>
  <c r="AK334" i="12"/>
  <c r="AB334" i="12"/>
  <c r="AF334" i="12" s="1"/>
  <c r="AJ334" i="12"/>
  <c r="AC334" i="12"/>
  <c r="AA334" i="12"/>
  <c r="AD333" i="12"/>
  <c r="AG333" i="12" s="1"/>
  <c r="V334" i="12"/>
  <c r="W333" i="12"/>
  <c r="R335" i="12"/>
  <c r="P336" i="12"/>
  <c r="Q335" i="12"/>
  <c r="AI334" i="12"/>
  <c r="T335" i="12"/>
  <c r="U334" i="12"/>
  <c r="Y335" i="12" l="1"/>
  <c r="X335" i="12"/>
  <c r="AD334" i="12"/>
  <c r="AG334" i="12" s="1"/>
  <c r="AK335" i="12"/>
  <c r="AB335" i="12"/>
  <c r="AF335" i="12" s="1"/>
  <c r="AJ335" i="12"/>
  <c r="AC335" i="12"/>
  <c r="AA335" i="12"/>
  <c r="T336" i="12"/>
  <c r="U336" i="12" s="1"/>
  <c r="U335" i="12"/>
  <c r="W334" i="12"/>
  <c r="V335" i="12"/>
  <c r="P337" i="12"/>
  <c r="Q336" i="12"/>
  <c r="R336" i="12"/>
  <c r="S336" i="12"/>
  <c r="B336" i="12"/>
  <c r="A337" i="12"/>
  <c r="AI335" i="12"/>
  <c r="X336" i="12" l="1"/>
  <c r="Y336" i="12"/>
  <c r="AC336" i="12"/>
  <c r="AB336" i="12"/>
  <c r="AF336" i="12" s="1"/>
  <c r="AA336" i="12"/>
  <c r="AK336" i="12"/>
  <c r="AJ336" i="12"/>
  <c r="R337" i="12"/>
  <c r="P338" i="12"/>
  <c r="Q337" i="12"/>
  <c r="AI336" i="12"/>
  <c r="AD335" i="12"/>
  <c r="AG335" i="12" s="1"/>
  <c r="S337" i="12"/>
  <c r="A338" i="12"/>
  <c r="B337" i="12"/>
  <c r="T337" i="12"/>
  <c r="V336" i="12"/>
  <c r="W335" i="12"/>
  <c r="Y337" i="12" l="1"/>
  <c r="X337" i="12"/>
  <c r="AD336" i="12"/>
  <c r="AG336" i="12" s="1"/>
  <c r="T338" i="12"/>
  <c r="U338" i="12" s="1"/>
  <c r="U337" i="12"/>
  <c r="P339" i="12"/>
  <c r="Q338" i="12"/>
  <c r="R338" i="12"/>
  <c r="W336" i="12"/>
  <c r="V337" i="12"/>
  <c r="S338" i="12"/>
  <c r="B338" i="12"/>
  <c r="A339" i="12"/>
  <c r="AK337" i="12"/>
  <c r="AB337" i="12"/>
  <c r="AF337" i="12" s="1"/>
  <c r="AJ337" i="12"/>
  <c r="AC337" i="12"/>
  <c r="AA337" i="12"/>
  <c r="AI337" i="12"/>
  <c r="AI338" i="12" l="1"/>
  <c r="X338" i="12"/>
  <c r="Y338" i="12"/>
  <c r="AD337" i="12"/>
  <c r="AG337" i="12" s="1"/>
  <c r="V338" i="12"/>
  <c r="W337" i="12"/>
  <c r="R339" i="12"/>
  <c r="P340" i="12"/>
  <c r="Q339" i="12"/>
  <c r="S339" i="12"/>
  <c r="A340" i="12"/>
  <c r="B339" i="12"/>
  <c r="AK338" i="12"/>
  <c r="AB338" i="12"/>
  <c r="AF338" i="12" s="1"/>
  <c r="AJ338" i="12"/>
  <c r="AC338" i="12"/>
  <c r="AA338" i="12"/>
  <c r="T339" i="12"/>
  <c r="AI339" i="12"/>
  <c r="Y339" i="12" l="1"/>
  <c r="X339" i="12"/>
  <c r="T340" i="12"/>
  <c r="U340" i="12" s="1"/>
  <c r="AD338" i="12"/>
  <c r="AG338" i="12" s="1"/>
  <c r="U339" i="12"/>
  <c r="AK339" i="12"/>
  <c r="AB339" i="12"/>
  <c r="AF339" i="12" s="1"/>
  <c r="AA339" i="12"/>
  <c r="AJ339" i="12"/>
  <c r="AC339" i="12"/>
  <c r="AD339" i="12" s="1"/>
  <c r="AG339" i="12" s="1"/>
  <c r="W338" i="12"/>
  <c r="V339" i="12"/>
  <c r="S340" i="12"/>
  <c r="B340" i="12"/>
  <c r="A341" i="12"/>
  <c r="P341" i="12"/>
  <c r="Q340" i="12"/>
  <c r="R340" i="12"/>
  <c r="X340" i="12" l="1"/>
  <c r="Y340" i="12"/>
  <c r="V340" i="12"/>
  <c r="W339" i="12"/>
  <c r="S341" i="12"/>
  <c r="A342" i="12"/>
  <c r="B341" i="12"/>
  <c r="T341" i="12"/>
  <c r="R341" i="12"/>
  <c r="P342" i="12"/>
  <c r="Q341" i="12"/>
  <c r="AA340" i="12"/>
  <c r="AB340" i="12"/>
  <c r="AF340" i="12" s="1"/>
  <c r="AJ340" i="12"/>
  <c r="AK340" i="12"/>
  <c r="AC340" i="12"/>
  <c r="AI340" i="12"/>
  <c r="AD340" i="12" l="1"/>
  <c r="AG340" i="12" s="1"/>
  <c r="Y341" i="12"/>
  <c r="X341" i="12"/>
  <c r="P343" i="12"/>
  <c r="Q342" i="12"/>
  <c r="R342" i="12"/>
  <c r="T342" i="12"/>
  <c r="U342" i="12" s="1"/>
  <c r="U341" i="12"/>
  <c r="AK341" i="12"/>
  <c r="AB341" i="12"/>
  <c r="AF341" i="12" s="1"/>
  <c r="AJ341" i="12"/>
  <c r="AC341" i="12"/>
  <c r="AA341" i="12"/>
  <c r="AI341" i="12"/>
  <c r="S342" i="12"/>
  <c r="B342" i="12"/>
  <c r="A343" i="12"/>
  <c r="W340" i="12"/>
  <c r="V341" i="12"/>
  <c r="X342" i="12" l="1"/>
  <c r="Y342" i="12"/>
  <c r="AI342" i="12"/>
  <c r="S343" i="12"/>
  <c r="A344" i="12"/>
  <c r="B343" i="12"/>
  <c r="V342" i="12"/>
  <c r="W341" i="12"/>
  <c r="AK342" i="12"/>
  <c r="AB342" i="12"/>
  <c r="AF342" i="12" s="1"/>
  <c r="AJ342" i="12"/>
  <c r="AC342" i="12"/>
  <c r="AA342" i="12"/>
  <c r="AD341" i="12"/>
  <c r="AG341" i="12" s="1"/>
  <c r="T343" i="12"/>
  <c r="R343" i="12"/>
  <c r="P344" i="12"/>
  <c r="Q343" i="12"/>
  <c r="Y343" i="12" l="1"/>
  <c r="X343" i="12"/>
  <c r="AD342" i="12"/>
  <c r="AG342" i="12" s="1"/>
  <c r="S344" i="12"/>
  <c r="B344" i="12"/>
  <c r="A345" i="12"/>
  <c r="P345" i="12"/>
  <c r="Q344" i="12"/>
  <c r="R344" i="12"/>
  <c r="T344" i="12"/>
  <c r="U343" i="12"/>
  <c r="W342" i="12"/>
  <c r="V343" i="12"/>
  <c r="AK343" i="12"/>
  <c r="AB343" i="12"/>
  <c r="AF343" i="12" s="1"/>
  <c r="AC343" i="12"/>
  <c r="AA343" i="12"/>
  <c r="AJ343" i="12"/>
  <c r="AI343" i="12"/>
  <c r="AI344" i="12" l="1"/>
  <c r="X344" i="12"/>
  <c r="Y344" i="12"/>
  <c r="S345" i="12"/>
  <c r="A346" i="12"/>
  <c r="B345" i="12"/>
  <c r="AD343" i="12"/>
  <c r="AG343" i="12" s="1"/>
  <c r="V344" i="12"/>
  <c r="W343" i="12"/>
  <c r="AJ344" i="12"/>
  <c r="AC344" i="12"/>
  <c r="AB344" i="12"/>
  <c r="AF344" i="12" s="1"/>
  <c r="AA344" i="12"/>
  <c r="AK344" i="12"/>
  <c r="T345" i="12"/>
  <c r="U344" i="12"/>
  <c r="R345" i="12"/>
  <c r="P346" i="12"/>
  <c r="Q345" i="12"/>
  <c r="Y345" i="12" l="1"/>
  <c r="X345" i="12"/>
  <c r="AD344" i="12"/>
  <c r="AG344" i="12" s="1"/>
  <c r="T346" i="12"/>
  <c r="P347" i="12"/>
  <c r="Q346" i="12"/>
  <c r="R346" i="12"/>
  <c r="U346" i="12"/>
  <c r="AI345" i="12"/>
  <c r="AK345" i="12"/>
  <c r="AB345" i="12"/>
  <c r="AF345" i="12" s="1"/>
  <c r="AJ345" i="12"/>
  <c r="AC345" i="12"/>
  <c r="AA345" i="12"/>
  <c r="S346" i="12"/>
  <c r="B346" i="12"/>
  <c r="A347" i="12"/>
  <c r="U345" i="12"/>
  <c r="W344" i="12"/>
  <c r="V345" i="12"/>
  <c r="X346" i="12" l="1"/>
  <c r="Y346" i="12"/>
  <c r="AI346" i="12"/>
  <c r="V346" i="12"/>
  <c r="W345" i="12"/>
  <c r="S347" i="12"/>
  <c r="A348" i="12"/>
  <c r="B347" i="12"/>
  <c r="T347" i="12"/>
  <c r="AK346" i="12"/>
  <c r="AB346" i="12"/>
  <c r="AF346" i="12" s="1"/>
  <c r="AC346" i="12"/>
  <c r="AA346" i="12"/>
  <c r="AJ346" i="12"/>
  <c r="AD345" i="12"/>
  <c r="AG345" i="12" s="1"/>
  <c r="R347" i="12"/>
  <c r="P348" i="12"/>
  <c r="Q347" i="12"/>
  <c r="AD346" i="12" l="1"/>
  <c r="AG346" i="12" s="1"/>
  <c r="Y347" i="12"/>
  <c r="X347" i="12"/>
  <c r="AI347" i="12"/>
  <c r="T348" i="12"/>
  <c r="U347" i="12"/>
  <c r="U348" i="12"/>
  <c r="AK347" i="12"/>
  <c r="AB347" i="12"/>
  <c r="AF347" i="12" s="1"/>
  <c r="AJ347" i="12"/>
  <c r="AC347" i="12"/>
  <c r="AA347" i="12"/>
  <c r="P349" i="12"/>
  <c r="Q348" i="12"/>
  <c r="R348" i="12"/>
  <c r="S348" i="12"/>
  <c r="B348" i="12"/>
  <c r="A349" i="12"/>
  <c r="W346" i="12"/>
  <c r="V347" i="12"/>
  <c r="X348" i="12" l="1"/>
  <c r="Y348" i="12"/>
  <c r="AI348" i="12"/>
  <c r="S349" i="12"/>
  <c r="A350" i="12"/>
  <c r="B349" i="12"/>
  <c r="AD347" i="12"/>
  <c r="AG347" i="12" s="1"/>
  <c r="V348" i="12"/>
  <c r="W347" i="12"/>
  <c r="AJ348" i="12"/>
  <c r="AK348" i="12"/>
  <c r="AC348" i="12"/>
  <c r="AA348" i="12"/>
  <c r="AB348" i="12"/>
  <c r="AF348" i="12" s="1"/>
  <c r="R349" i="12"/>
  <c r="P350" i="12"/>
  <c r="Q349" i="12"/>
  <c r="T349" i="12"/>
  <c r="Y349" i="12" l="1"/>
  <c r="X349" i="12"/>
  <c r="AK349" i="12"/>
  <c r="AB349" i="12"/>
  <c r="AF349" i="12" s="1"/>
  <c r="AJ349" i="12"/>
  <c r="AC349" i="12"/>
  <c r="AA349" i="12"/>
  <c r="P351" i="12"/>
  <c r="Q350" i="12"/>
  <c r="R350" i="12"/>
  <c r="S350" i="12"/>
  <c r="B350" i="12"/>
  <c r="A351" i="12"/>
  <c r="AD348" i="12"/>
  <c r="AG348" i="12" s="1"/>
  <c r="W348" i="12"/>
  <c r="V349" i="12"/>
  <c r="T350" i="12"/>
  <c r="U350" i="12" s="1"/>
  <c r="U349" i="12"/>
  <c r="AI349" i="12"/>
  <c r="X350" i="12" l="1"/>
  <c r="Y350" i="12"/>
  <c r="V350" i="12"/>
  <c r="W349" i="12"/>
  <c r="A352" i="12"/>
  <c r="S351" i="12"/>
  <c r="B351" i="12"/>
  <c r="T351" i="12"/>
  <c r="AB350" i="12"/>
  <c r="AF350" i="12" s="1"/>
  <c r="AA350" i="12"/>
  <c r="AJ350" i="12"/>
  <c r="AC350" i="12"/>
  <c r="AK350" i="12"/>
  <c r="P352" i="12"/>
  <c r="R351" i="12"/>
  <c r="Q351" i="12"/>
  <c r="U351" i="12"/>
  <c r="AD349" i="12"/>
  <c r="AG349" i="12" s="1"/>
  <c r="AI350" i="12"/>
  <c r="Y351" i="12" l="1"/>
  <c r="X351" i="12"/>
  <c r="AD350" i="12"/>
  <c r="AG350" i="12" s="1"/>
  <c r="T352" i="12"/>
  <c r="B352" i="12"/>
  <c r="A353" i="12"/>
  <c r="S352" i="12"/>
  <c r="AI351" i="12"/>
  <c r="Q352" i="12"/>
  <c r="P353" i="12"/>
  <c r="R352" i="12"/>
  <c r="AB351" i="12"/>
  <c r="AF351" i="12" s="1"/>
  <c r="AJ351" i="12"/>
  <c r="AC351" i="12"/>
  <c r="AA351" i="12"/>
  <c r="AK351" i="12"/>
  <c r="W350" i="12"/>
  <c r="V351" i="12"/>
  <c r="AD351" i="12" l="1"/>
  <c r="AG351" i="12" s="1"/>
  <c r="X352" i="12"/>
  <c r="Y352" i="12"/>
  <c r="T353" i="12"/>
  <c r="U353" i="12" s="1"/>
  <c r="U352" i="12"/>
  <c r="R353" i="12"/>
  <c r="P354" i="12"/>
  <c r="Q353" i="12"/>
  <c r="V352" i="12"/>
  <c r="W351" i="12"/>
  <c r="S353" i="12"/>
  <c r="A354" i="12"/>
  <c r="B353" i="12"/>
  <c r="AB352" i="12"/>
  <c r="AF352" i="12" s="1"/>
  <c r="AC352" i="12"/>
  <c r="AA352" i="12"/>
  <c r="AK352" i="12"/>
  <c r="AJ352" i="12"/>
  <c r="AI352" i="12"/>
  <c r="AI353" i="12" l="1"/>
  <c r="Y353" i="12"/>
  <c r="X353" i="12"/>
  <c r="AK353" i="12"/>
  <c r="AB353" i="12"/>
  <c r="AF353" i="12" s="1"/>
  <c r="AA353" i="12"/>
  <c r="AJ353" i="12"/>
  <c r="AC353" i="12"/>
  <c r="AD353" i="12" s="1"/>
  <c r="AG353" i="12" s="1"/>
  <c r="AD352" i="12"/>
  <c r="AG352" i="12" s="1"/>
  <c r="B354" i="12"/>
  <c r="A355" i="12"/>
  <c r="S354" i="12"/>
  <c r="V353" i="12"/>
  <c r="W352" i="12"/>
  <c r="T354" i="12"/>
  <c r="Q354" i="12"/>
  <c r="P355" i="12"/>
  <c r="R354" i="12"/>
  <c r="X354" i="12" l="1"/>
  <c r="Y354" i="12"/>
  <c r="R355" i="12"/>
  <c r="P356" i="12"/>
  <c r="Q355" i="12"/>
  <c r="AI354" i="12"/>
  <c r="S355" i="12"/>
  <c r="A356" i="12"/>
  <c r="B355" i="12"/>
  <c r="T355" i="12"/>
  <c r="U355" i="12" s="1"/>
  <c r="U354" i="12"/>
  <c r="V354" i="12"/>
  <c r="W353" i="12"/>
  <c r="AK354" i="12"/>
  <c r="AC354" i="12"/>
  <c r="AA354" i="12"/>
  <c r="AB354" i="12"/>
  <c r="AF354" i="12" s="1"/>
  <c r="AJ354" i="12"/>
  <c r="AI355" i="12" l="1"/>
  <c r="Y355" i="12"/>
  <c r="X355" i="12"/>
  <c r="AD354" i="12"/>
  <c r="AG354" i="12" s="1"/>
  <c r="V355" i="12"/>
  <c r="W354" i="12"/>
  <c r="AK355" i="12"/>
  <c r="AB355" i="12"/>
  <c r="AF355" i="12" s="1"/>
  <c r="AA355" i="12"/>
  <c r="AJ355" i="12"/>
  <c r="AC355" i="12"/>
  <c r="AD355" i="12" s="1"/>
  <c r="AG355" i="12" s="1"/>
  <c r="T356" i="12"/>
  <c r="B356" i="12"/>
  <c r="A357" i="12"/>
  <c r="S356" i="12"/>
  <c r="Q356" i="12"/>
  <c r="P357" i="12"/>
  <c r="R356" i="12"/>
  <c r="X356" i="12" l="1"/>
  <c r="Y356" i="12"/>
  <c r="AI356" i="12"/>
  <c r="AJ356" i="12"/>
  <c r="AB356" i="12"/>
  <c r="AF356" i="12" s="1"/>
  <c r="AC356" i="12"/>
  <c r="AK356" i="12"/>
  <c r="AA356" i="12"/>
  <c r="T357" i="12"/>
  <c r="U356" i="12"/>
  <c r="R357" i="12"/>
  <c r="P358" i="12"/>
  <c r="Q357" i="12"/>
  <c r="S357" i="12"/>
  <c r="A358" i="12"/>
  <c r="B357" i="12"/>
  <c r="V356" i="12"/>
  <c r="W355" i="12"/>
  <c r="AI357" i="12" l="1"/>
  <c r="Y357" i="12"/>
  <c r="X357" i="12"/>
  <c r="AD356" i="12"/>
  <c r="AG356" i="12" s="1"/>
  <c r="B358" i="12"/>
  <c r="A359" i="12"/>
  <c r="S358" i="12"/>
  <c r="Q358" i="12"/>
  <c r="P359" i="12"/>
  <c r="R358" i="12"/>
  <c r="T358" i="12"/>
  <c r="U357" i="12"/>
  <c r="V357" i="12"/>
  <c r="W356" i="12"/>
  <c r="AI358" i="12"/>
  <c r="AK357" i="12"/>
  <c r="AB357" i="12"/>
  <c r="AF357" i="12" s="1"/>
  <c r="AA357" i="12"/>
  <c r="AJ357" i="12"/>
  <c r="AC357" i="12"/>
  <c r="AD357" i="12" s="1"/>
  <c r="AG357" i="12" s="1"/>
  <c r="X358" i="12" l="1"/>
  <c r="Y358" i="12"/>
  <c r="T359" i="12"/>
  <c r="U359" i="12" s="1"/>
  <c r="U358" i="12"/>
  <c r="V358" i="12"/>
  <c r="W357" i="12"/>
  <c r="P360" i="12"/>
  <c r="Q359" i="12"/>
  <c r="R359" i="12"/>
  <c r="S359" i="12"/>
  <c r="B359" i="12"/>
  <c r="A360" i="12"/>
  <c r="AB358" i="12"/>
  <c r="AF358" i="12" s="1"/>
  <c r="AJ358" i="12"/>
  <c r="AK358" i="12"/>
  <c r="AA358" i="12"/>
  <c r="AC358" i="12"/>
  <c r="AI359" i="12" l="1"/>
  <c r="Y359" i="12"/>
  <c r="X359" i="12"/>
  <c r="AD358" i="12"/>
  <c r="AG358" i="12" s="1"/>
  <c r="V359" i="12"/>
  <c r="W358" i="12"/>
  <c r="S360" i="12"/>
  <c r="B360" i="12"/>
  <c r="A361" i="12"/>
  <c r="AB359" i="12"/>
  <c r="AF359" i="12" s="1"/>
  <c r="AK359" i="12"/>
  <c r="AJ359" i="12"/>
  <c r="AC359" i="12"/>
  <c r="AA359" i="12"/>
  <c r="P361" i="12"/>
  <c r="R360" i="12"/>
  <c r="Q360" i="12"/>
  <c r="T360" i="12"/>
  <c r="X360" i="12" l="1"/>
  <c r="Y360" i="12"/>
  <c r="T361" i="12"/>
  <c r="U361" i="12" s="1"/>
  <c r="U360" i="12"/>
  <c r="AD359" i="12"/>
  <c r="AG359" i="12" s="1"/>
  <c r="AI360" i="12"/>
  <c r="S361" i="12"/>
  <c r="A362" i="12"/>
  <c r="B361" i="12"/>
  <c r="R361" i="12"/>
  <c r="P362" i="12"/>
  <c r="Q361" i="12"/>
  <c r="AB360" i="12"/>
  <c r="AF360" i="12" s="1"/>
  <c r="AK360" i="12"/>
  <c r="AJ360" i="12"/>
  <c r="AC360" i="12"/>
  <c r="AA360" i="12"/>
  <c r="W359" i="12"/>
  <c r="V360" i="12"/>
  <c r="AI361" i="12" l="1"/>
  <c r="Y361" i="12"/>
  <c r="X361" i="12"/>
  <c r="AD360" i="12"/>
  <c r="AG360" i="12" s="1"/>
  <c r="AK361" i="12"/>
  <c r="AB361" i="12"/>
  <c r="AF361" i="12" s="1"/>
  <c r="AC361" i="12"/>
  <c r="AA361" i="12"/>
  <c r="AJ361" i="12"/>
  <c r="W360" i="12"/>
  <c r="V361" i="12"/>
  <c r="P363" i="12"/>
  <c r="Q362" i="12"/>
  <c r="R362" i="12"/>
  <c r="S362" i="12"/>
  <c r="B362" i="12"/>
  <c r="A363" i="12"/>
  <c r="T362" i="12"/>
  <c r="X362" i="12" l="1"/>
  <c r="Y362" i="12"/>
  <c r="V362" i="12"/>
  <c r="W361" i="12"/>
  <c r="AD361" i="12"/>
  <c r="AG361" i="12" s="1"/>
  <c r="S363" i="12"/>
  <c r="A364" i="12"/>
  <c r="B363" i="12"/>
  <c r="T363" i="12"/>
  <c r="U362" i="12"/>
  <c r="AC362" i="12"/>
  <c r="AA362" i="12"/>
  <c r="AB362" i="12"/>
  <c r="AF362" i="12" s="1"/>
  <c r="AJ362" i="12"/>
  <c r="AK362" i="12"/>
  <c r="R363" i="12"/>
  <c r="P364" i="12"/>
  <c r="Q363" i="12"/>
  <c r="AI363" i="12" s="1"/>
  <c r="AI362" i="12"/>
  <c r="Y363" i="12" l="1"/>
  <c r="X363" i="12"/>
  <c r="AD362" i="12"/>
  <c r="AG362" i="12" s="1"/>
  <c r="U363" i="12"/>
  <c r="AK363" i="12"/>
  <c r="AB363" i="12"/>
  <c r="AF363" i="12" s="1"/>
  <c r="AC363" i="12"/>
  <c r="AA363" i="12"/>
  <c r="AJ363" i="12"/>
  <c r="P365" i="12"/>
  <c r="Q364" i="12"/>
  <c r="R364" i="12"/>
  <c r="S364" i="12"/>
  <c r="B364" i="12"/>
  <c r="A365" i="12"/>
  <c r="T364" i="12"/>
  <c r="W362" i="12"/>
  <c r="V363" i="12"/>
  <c r="X364" i="12" l="1"/>
  <c r="Y364" i="12"/>
  <c r="AD363" i="12"/>
  <c r="AG363" i="12" s="1"/>
  <c r="S365" i="12"/>
  <c r="A366" i="12"/>
  <c r="B365" i="12"/>
  <c r="T365" i="12"/>
  <c r="U364" i="12"/>
  <c r="AK364" i="12"/>
  <c r="AJ364" i="12"/>
  <c r="AB364" i="12"/>
  <c r="AF364" i="12" s="1"/>
  <c r="AC364" i="12"/>
  <c r="AA364" i="12"/>
  <c r="V364" i="12"/>
  <c r="W363" i="12"/>
  <c r="R365" i="12"/>
  <c r="P366" i="12"/>
  <c r="Q365" i="12"/>
  <c r="AI364" i="12"/>
  <c r="Y365" i="12" l="1"/>
  <c r="X365" i="12"/>
  <c r="AK365" i="12"/>
  <c r="AB365" i="12"/>
  <c r="AF365" i="12" s="1"/>
  <c r="AJ365" i="12"/>
  <c r="AC365" i="12"/>
  <c r="AA365" i="12"/>
  <c r="P367" i="12"/>
  <c r="Q366" i="12"/>
  <c r="R366" i="12"/>
  <c r="W364" i="12"/>
  <c r="V365" i="12"/>
  <c r="AD364" i="12"/>
  <c r="AG364" i="12" s="1"/>
  <c r="S366" i="12"/>
  <c r="B366" i="12"/>
  <c r="A367" i="12"/>
  <c r="AI365" i="12"/>
  <c r="T366" i="12"/>
  <c r="U365" i="12"/>
  <c r="X366" i="12" l="1"/>
  <c r="Y366" i="12"/>
  <c r="AI366" i="12"/>
  <c r="AD365" i="12"/>
  <c r="AG365" i="12" s="1"/>
  <c r="T367" i="12"/>
  <c r="U366" i="12"/>
  <c r="AJ366" i="12"/>
  <c r="AK366" i="12"/>
  <c r="AC366" i="12"/>
  <c r="AA366" i="12"/>
  <c r="AB366" i="12"/>
  <c r="AF366" i="12" s="1"/>
  <c r="S367" i="12"/>
  <c r="A368" i="12"/>
  <c r="B367" i="12"/>
  <c r="V366" i="12"/>
  <c r="W365" i="12"/>
  <c r="R367" i="12"/>
  <c r="P368" i="12"/>
  <c r="Q367" i="12"/>
  <c r="AI367" i="12" s="1"/>
  <c r="Y367" i="12" l="1"/>
  <c r="X367" i="12"/>
  <c r="S368" i="12"/>
  <c r="B368" i="12"/>
  <c r="A369" i="12"/>
  <c r="P369" i="12"/>
  <c r="Q368" i="12"/>
  <c r="R368" i="12"/>
  <c r="AK367" i="12"/>
  <c r="AB367" i="12"/>
  <c r="AF367" i="12" s="1"/>
  <c r="AC367" i="12"/>
  <c r="AA367" i="12"/>
  <c r="AJ367" i="12"/>
  <c r="AD366" i="12"/>
  <c r="AG366" i="12" s="1"/>
  <c r="W366" i="12"/>
  <c r="V367" i="12"/>
  <c r="T368" i="12"/>
  <c r="U367" i="12"/>
  <c r="AI368" i="12" l="1"/>
  <c r="X368" i="12"/>
  <c r="Y368" i="12"/>
  <c r="AD367" i="12"/>
  <c r="AG367" i="12" s="1"/>
  <c r="A370" i="12"/>
  <c r="S369" i="12"/>
  <c r="B369" i="12"/>
  <c r="V368" i="12"/>
  <c r="W367" i="12"/>
  <c r="T369" i="12"/>
  <c r="U368" i="12"/>
  <c r="AJ368" i="12"/>
  <c r="AC368" i="12"/>
  <c r="AK368" i="12"/>
  <c r="AB368" i="12"/>
  <c r="AF368" i="12" s="1"/>
  <c r="AA368" i="12"/>
  <c r="P370" i="12"/>
  <c r="R369" i="12"/>
  <c r="Q369" i="12"/>
  <c r="Y369" i="12" l="1"/>
  <c r="X369" i="12"/>
  <c r="AD368" i="12"/>
  <c r="AG368" i="12" s="1"/>
  <c r="T370" i="12"/>
  <c r="U370" i="12" s="1"/>
  <c r="B370" i="12"/>
  <c r="A371" i="12"/>
  <c r="S370" i="12"/>
  <c r="AI369" i="12"/>
  <c r="W368" i="12"/>
  <c r="V369" i="12"/>
  <c r="P371" i="12"/>
  <c r="Q370" i="12"/>
  <c r="R370" i="12"/>
  <c r="U369" i="12"/>
  <c r="AB369" i="12"/>
  <c r="AF369" i="12" s="1"/>
  <c r="AJ369" i="12"/>
  <c r="AC369" i="12"/>
  <c r="AA369" i="12"/>
  <c r="AK369" i="12"/>
  <c r="AI370" i="12" l="1"/>
  <c r="X370" i="12"/>
  <c r="Y370" i="12"/>
  <c r="AD369" i="12"/>
  <c r="AG369" i="12" s="1"/>
  <c r="V370" i="12"/>
  <c r="W369" i="12"/>
  <c r="AB370" i="12"/>
  <c r="AF370" i="12" s="1"/>
  <c r="AJ370" i="12"/>
  <c r="AC370" i="12"/>
  <c r="AA370" i="12"/>
  <c r="AK370" i="12"/>
  <c r="A372" i="12"/>
  <c r="S371" i="12"/>
  <c r="B371" i="12"/>
  <c r="P372" i="12"/>
  <c r="R371" i="12"/>
  <c r="Q371" i="12"/>
  <c r="T371" i="12"/>
  <c r="Y371" i="12" l="1"/>
  <c r="X371" i="12"/>
  <c r="B372" i="12"/>
  <c r="A373" i="12"/>
  <c r="S372" i="12"/>
  <c r="AD370" i="12"/>
  <c r="AG370" i="12" s="1"/>
  <c r="V371" i="12"/>
  <c r="W370" i="12"/>
  <c r="P373" i="12"/>
  <c r="Q372" i="12"/>
  <c r="R372" i="12"/>
  <c r="T372" i="12"/>
  <c r="U372" i="12" s="1"/>
  <c r="U371" i="12"/>
  <c r="AB371" i="12"/>
  <c r="AF371" i="12" s="1"/>
  <c r="AJ371" i="12"/>
  <c r="AC371" i="12"/>
  <c r="AA371" i="12"/>
  <c r="AK371" i="12"/>
  <c r="AI371" i="12"/>
  <c r="AD371" i="12" l="1"/>
  <c r="AG371" i="12" s="1"/>
  <c r="X372" i="12"/>
  <c r="Y372" i="12"/>
  <c r="V372" i="12"/>
  <c r="W371" i="12"/>
  <c r="A374" i="12"/>
  <c r="S373" i="12"/>
  <c r="B373" i="12"/>
  <c r="P374" i="12"/>
  <c r="R373" i="12"/>
  <c r="Q373" i="12"/>
  <c r="AI372" i="12"/>
  <c r="AB372" i="12"/>
  <c r="AF372" i="12" s="1"/>
  <c r="AJ372" i="12"/>
  <c r="AC372" i="12"/>
  <c r="AA372" i="12"/>
  <c r="AK372" i="12"/>
  <c r="T373" i="12"/>
  <c r="AD372" i="12" l="1"/>
  <c r="AG372" i="12" s="1"/>
  <c r="Y373" i="12"/>
  <c r="X373" i="12"/>
  <c r="T374" i="12"/>
  <c r="U374" i="12" s="1"/>
  <c r="U373" i="12"/>
  <c r="AB373" i="12"/>
  <c r="AF373" i="12" s="1"/>
  <c r="AJ373" i="12"/>
  <c r="AC373" i="12"/>
  <c r="AA373" i="12"/>
  <c r="AK373" i="12"/>
  <c r="P375" i="12"/>
  <c r="Q374" i="12"/>
  <c r="R374" i="12"/>
  <c r="V373" i="12"/>
  <c r="W372" i="12"/>
  <c r="AI373" i="12"/>
  <c r="B374" i="12"/>
  <c r="A375" i="12"/>
  <c r="S374" i="12"/>
  <c r="X374" i="12" l="1"/>
  <c r="Y374" i="12"/>
  <c r="AD373" i="12"/>
  <c r="AG373" i="12" s="1"/>
  <c r="AB374" i="12"/>
  <c r="AF374" i="12" s="1"/>
  <c r="AJ374" i="12"/>
  <c r="AC374" i="12"/>
  <c r="AD374" i="12" s="1"/>
  <c r="AG374" i="12" s="1"/>
  <c r="AA374" i="12"/>
  <c r="AK374" i="12"/>
  <c r="V374" i="12"/>
  <c r="W373" i="12"/>
  <c r="A376" i="12"/>
  <c r="S375" i="12"/>
  <c r="B375" i="12"/>
  <c r="P376" i="12"/>
  <c r="R375" i="12"/>
  <c r="Q375" i="12"/>
  <c r="AI374" i="12"/>
  <c r="T375" i="12"/>
  <c r="AI375" i="12" l="1"/>
  <c r="Y375" i="12"/>
  <c r="X375" i="12"/>
  <c r="AB375" i="12"/>
  <c r="AF375" i="12" s="1"/>
  <c r="AJ375" i="12"/>
  <c r="AC375" i="12"/>
  <c r="AD375" i="12" s="1"/>
  <c r="AG375" i="12" s="1"/>
  <c r="AA375" i="12"/>
  <c r="AK375" i="12"/>
  <c r="P377" i="12"/>
  <c r="Q376" i="12"/>
  <c r="R376" i="12"/>
  <c r="B376" i="12"/>
  <c r="A377" i="12"/>
  <c r="S376" i="12"/>
  <c r="T376" i="12"/>
  <c r="U376" i="12" s="1"/>
  <c r="U375" i="12"/>
  <c r="V375" i="12"/>
  <c r="W374" i="12"/>
  <c r="X376" i="12" l="1"/>
  <c r="Y376" i="12"/>
  <c r="P378" i="12"/>
  <c r="R377" i="12"/>
  <c r="Q377" i="12"/>
  <c r="A378" i="12"/>
  <c r="S377" i="12"/>
  <c r="B377" i="12"/>
  <c r="T377" i="12"/>
  <c r="AB376" i="12"/>
  <c r="AF376" i="12" s="1"/>
  <c r="AK376" i="12"/>
  <c r="AC376" i="12"/>
  <c r="AA376" i="12"/>
  <c r="AJ376" i="12"/>
  <c r="V376" i="12"/>
  <c r="W375" i="12"/>
  <c r="AI376" i="12"/>
  <c r="Y377" i="12" l="1"/>
  <c r="X377" i="12"/>
  <c r="AD376" i="12"/>
  <c r="AG376" i="12" s="1"/>
  <c r="AJ377" i="12"/>
  <c r="AK377" i="12"/>
  <c r="AC377" i="12"/>
  <c r="AA377" i="12"/>
  <c r="AB377" i="12"/>
  <c r="AF377" i="12" s="1"/>
  <c r="T378" i="12"/>
  <c r="U378" i="12" s="1"/>
  <c r="U377" i="12"/>
  <c r="V377" i="12"/>
  <c r="W376" i="12"/>
  <c r="P379" i="12"/>
  <c r="Q378" i="12"/>
  <c r="R378" i="12"/>
  <c r="AI377" i="12"/>
  <c r="S378" i="12"/>
  <c r="A379" i="12"/>
  <c r="B378" i="12"/>
  <c r="X378" i="12" l="1"/>
  <c r="Y378" i="12"/>
  <c r="W377" i="12"/>
  <c r="V378" i="12"/>
  <c r="P380" i="12"/>
  <c r="R379" i="12"/>
  <c r="Q379" i="12"/>
  <c r="T379" i="12"/>
  <c r="AD377" i="12"/>
  <c r="AG377" i="12" s="1"/>
  <c r="A380" i="12"/>
  <c r="S379" i="12"/>
  <c r="B379" i="12"/>
  <c r="AK378" i="12"/>
  <c r="AB378" i="12"/>
  <c r="AF378" i="12" s="1"/>
  <c r="AA378" i="12"/>
  <c r="AJ378" i="12"/>
  <c r="AC378" i="12"/>
  <c r="AD378" i="12" s="1"/>
  <c r="AG378" i="12" s="1"/>
  <c r="AI378" i="12"/>
  <c r="Y379" i="12" l="1"/>
  <c r="X379" i="12"/>
  <c r="AI379" i="12"/>
  <c r="AK379" i="12"/>
  <c r="AB379" i="12"/>
  <c r="AF379" i="12" s="1"/>
  <c r="AJ379" i="12"/>
  <c r="AC379" i="12"/>
  <c r="AA379" i="12"/>
  <c r="P381" i="12"/>
  <c r="Q380" i="12"/>
  <c r="R380" i="12"/>
  <c r="T380" i="12"/>
  <c r="U380" i="12" s="1"/>
  <c r="U379" i="12"/>
  <c r="V379" i="12"/>
  <c r="W378" i="12"/>
  <c r="S380" i="12"/>
  <c r="A381" i="12"/>
  <c r="B380" i="12"/>
  <c r="X380" i="12" l="1"/>
  <c r="Y380" i="12"/>
  <c r="AD379" i="12"/>
  <c r="AG379" i="12" s="1"/>
  <c r="AI380" i="12"/>
  <c r="T381" i="12"/>
  <c r="P382" i="12"/>
  <c r="R381" i="12"/>
  <c r="Q381" i="12"/>
  <c r="AK380" i="12"/>
  <c r="AB380" i="12"/>
  <c r="AF380" i="12" s="1"/>
  <c r="AA380" i="12"/>
  <c r="AJ380" i="12"/>
  <c r="AC380" i="12"/>
  <c r="A382" i="12"/>
  <c r="S381" i="12"/>
  <c r="B381" i="12"/>
  <c r="W379" i="12"/>
  <c r="V380" i="12"/>
  <c r="Y381" i="12" l="1"/>
  <c r="X381" i="12"/>
  <c r="AD380" i="12"/>
  <c r="AG380" i="12" s="1"/>
  <c r="T382" i="12"/>
  <c r="U382" i="12"/>
  <c r="U381" i="12"/>
  <c r="AC381" i="12"/>
  <c r="AB381" i="12"/>
  <c r="AF381" i="12" s="1"/>
  <c r="AK381" i="12"/>
  <c r="AA381" i="12"/>
  <c r="AJ381" i="12"/>
  <c r="V381" i="12"/>
  <c r="W380" i="12"/>
  <c r="S382" i="12"/>
  <c r="A383" i="12"/>
  <c r="B382" i="12"/>
  <c r="P383" i="12"/>
  <c r="Q382" i="12"/>
  <c r="R382" i="12"/>
  <c r="AI381" i="12"/>
  <c r="X382" i="12" l="1"/>
  <c r="Y382" i="12"/>
  <c r="AI382" i="12"/>
  <c r="A384" i="12"/>
  <c r="S383" i="12"/>
  <c r="B383" i="12"/>
  <c r="P384" i="12"/>
  <c r="R383" i="12"/>
  <c r="Q383" i="12"/>
  <c r="AK382" i="12"/>
  <c r="AB382" i="12"/>
  <c r="AF382" i="12" s="1"/>
  <c r="AA382" i="12"/>
  <c r="AJ382" i="12"/>
  <c r="AC382" i="12"/>
  <c r="AI383" i="12"/>
  <c r="W381" i="12"/>
  <c r="V382" i="12"/>
  <c r="T383" i="12"/>
  <c r="AD381" i="12"/>
  <c r="AG381" i="12" s="1"/>
  <c r="Y383" i="12" l="1"/>
  <c r="X383" i="12"/>
  <c r="AD382" i="12"/>
  <c r="AG382" i="12" s="1"/>
  <c r="AK383" i="12"/>
  <c r="AB383" i="12"/>
  <c r="AF383" i="12" s="1"/>
  <c r="AC383" i="12"/>
  <c r="AA383" i="12"/>
  <c r="AJ383" i="12"/>
  <c r="V383" i="12"/>
  <c r="W382" i="12"/>
  <c r="T384" i="12"/>
  <c r="U383" i="12"/>
  <c r="P385" i="12"/>
  <c r="Q384" i="12"/>
  <c r="R384" i="12"/>
  <c r="A385" i="12"/>
  <c r="S384" i="12"/>
  <c r="B384" i="12"/>
  <c r="AD383" i="12" l="1"/>
  <c r="AG383" i="12" s="1"/>
  <c r="X384" i="12"/>
  <c r="Y384" i="12"/>
  <c r="V384" i="12"/>
  <c r="W383" i="12"/>
  <c r="S385" i="12"/>
  <c r="A386" i="12"/>
  <c r="B385" i="12"/>
  <c r="P386" i="12"/>
  <c r="R385" i="12"/>
  <c r="Q385" i="12"/>
  <c r="T385" i="12"/>
  <c r="U384" i="12"/>
  <c r="AI384" i="12"/>
  <c r="AJ384" i="12"/>
  <c r="AB384" i="12"/>
  <c r="AF384" i="12" s="1"/>
  <c r="AC384" i="12"/>
  <c r="AK384" i="12"/>
  <c r="AA384" i="12"/>
  <c r="Y385" i="12" l="1"/>
  <c r="X385" i="12"/>
  <c r="AD384" i="12"/>
  <c r="AG384" i="12" s="1"/>
  <c r="T386" i="12"/>
  <c r="U385" i="12"/>
  <c r="Q386" i="12"/>
  <c r="P387" i="12"/>
  <c r="R386" i="12"/>
  <c r="AB385" i="12"/>
  <c r="AF385" i="12" s="1"/>
  <c r="AK385" i="12"/>
  <c r="AA385" i="12"/>
  <c r="AJ385" i="12"/>
  <c r="AC385" i="12"/>
  <c r="AD385" i="12" s="1"/>
  <c r="AG385" i="12" s="1"/>
  <c r="AI386" i="12"/>
  <c r="V385" i="12"/>
  <c r="W384" i="12"/>
  <c r="A387" i="12"/>
  <c r="B386" i="12"/>
  <c r="S386" i="12"/>
  <c r="AI385" i="12"/>
  <c r="X386" i="12" l="1"/>
  <c r="Y386" i="12"/>
  <c r="AB386" i="12"/>
  <c r="AF386" i="12" s="1"/>
  <c r="AJ386" i="12"/>
  <c r="AC386" i="12"/>
  <c r="AA386" i="12"/>
  <c r="AK386" i="12"/>
  <c r="W385" i="12"/>
  <c r="V386" i="12"/>
  <c r="S387" i="12"/>
  <c r="B387" i="12"/>
  <c r="A388" i="12"/>
  <c r="Q387" i="12"/>
  <c r="P388" i="12"/>
  <c r="R387" i="12"/>
  <c r="T387" i="12"/>
  <c r="U386" i="12"/>
  <c r="AI387" i="12" l="1"/>
  <c r="Y387" i="12"/>
  <c r="X387" i="12"/>
  <c r="R388" i="12"/>
  <c r="P389" i="12"/>
  <c r="Q388" i="12"/>
  <c r="T388" i="12"/>
  <c r="U388" i="12" s="1"/>
  <c r="U387" i="12"/>
  <c r="AK387" i="12"/>
  <c r="AB387" i="12"/>
  <c r="AF387" i="12" s="1"/>
  <c r="AJ387" i="12"/>
  <c r="AC387" i="12"/>
  <c r="AA387" i="12"/>
  <c r="AI388" i="12"/>
  <c r="A389" i="12"/>
  <c r="B388" i="12"/>
  <c r="S388" i="12"/>
  <c r="V387" i="12"/>
  <c r="W386" i="12"/>
  <c r="AD386" i="12"/>
  <c r="AG386" i="12" s="1"/>
  <c r="X388" i="12" l="1"/>
  <c r="Y388" i="12"/>
  <c r="AK388" i="12"/>
  <c r="AB388" i="12"/>
  <c r="AF388" i="12" s="1"/>
  <c r="AA388" i="12"/>
  <c r="AJ388" i="12"/>
  <c r="AC388" i="12"/>
  <c r="AD388" i="12" s="1"/>
  <c r="AG388" i="12" s="1"/>
  <c r="V388" i="12"/>
  <c r="W387" i="12"/>
  <c r="A390" i="12"/>
  <c r="S389" i="12"/>
  <c r="B389" i="12"/>
  <c r="AD387" i="12"/>
  <c r="AG387" i="12" s="1"/>
  <c r="Q389" i="12"/>
  <c r="P390" i="12"/>
  <c r="R389" i="12"/>
  <c r="T389" i="12"/>
  <c r="Y389" i="12" l="1"/>
  <c r="X389" i="12"/>
  <c r="T390" i="12"/>
  <c r="U389" i="12"/>
  <c r="U390" i="12"/>
  <c r="AJ389" i="12"/>
  <c r="AB389" i="12"/>
  <c r="AF389" i="12" s="1"/>
  <c r="AC389" i="12"/>
  <c r="AK389" i="12"/>
  <c r="AA389" i="12"/>
  <c r="P391" i="12"/>
  <c r="Q390" i="12"/>
  <c r="R390" i="12"/>
  <c r="V389" i="12"/>
  <c r="W388" i="12"/>
  <c r="A391" i="12"/>
  <c r="B390" i="12"/>
  <c r="S390" i="12"/>
  <c r="AI389" i="12"/>
  <c r="X390" i="12" l="1"/>
  <c r="Y390" i="12"/>
  <c r="AI390" i="12"/>
  <c r="A392" i="12"/>
  <c r="S391" i="12"/>
  <c r="B391" i="12"/>
  <c r="AD389" i="12"/>
  <c r="AG389" i="12" s="1"/>
  <c r="T391" i="12"/>
  <c r="V390" i="12"/>
  <c r="W389" i="12"/>
  <c r="AK390" i="12"/>
  <c r="AB390" i="12"/>
  <c r="AF390" i="12" s="1"/>
  <c r="AA390" i="12"/>
  <c r="AJ390" i="12"/>
  <c r="AC390" i="12"/>
  <c r="AD390" i="12" s="1"/>
  <c r="AG390" i="12" s="1"/>
  <c r="Q391" i="12"/>
  <c r="P392" i="12"/>
  <c r="R391" i="12"/>
  <c r="Y391" i="12" l="1"/>
  <c r="X391" i="12"/>
  <c r="T392" i="12"/>
  <c r="U392" i="12" s="1"/>
  <c r="U391" i="12"/>
  <c r="AK391" i="12"/>
  <c r="AJ391" i="12"/>
  <c r="AB391" i="12"/>
  <c r="AF391" i="12" s="1"/>
  <c r="AC391" i="12"/>
  <c r="AA391" i="12"/>
  <c r="P393" i="12"/>
  <c r="Q392" i="12"/>
  <c r="R392" i="12"/>
  <c r="V391" i="12"/>
  <c r="W390" i="12"/>
  <c r="AI391" i="12"/>
  <c r="A393" i="12"/>
  <c r="B392" i="12"/>
  <c r="S392" i="12"/>
  <c r="X392" i="12" l="1"/>
  <c r="Y392" i="12"/>
  <c r="AD391" i="12"/>
  <c r="AG391" i="12" s="1"/>
  <c r="AK392" i="12"/>
  <c r="AB392" i="12"/>
  <c r="AF392" i="12" s="1"/>
  <c r="AC392" i="12"/>
  <c r="AA392" i="12"/>
  <c r="AJ392" i="12"/>
  <c r="V392" i="12"/>
  <c r="W391" i="12"/>
  <c r="A394" i="12"/>
  <c r="S393" i="12"/>
  <c r="B393" i="12"/>
  <c r="T393" i="12"/>
  <c r="Q393" i="12"/>
  <c r="P394" i="12"/>
  <c r="R393" i="12"/>
  <c r="AI392" i="12"/>
  <c r="Y393" i="12" l="1"/>
  <c r="X393" i="12"/>
  <c r="AD392" i="12"/>
  <c r="AG392" i="12" s="1"/>
  <c r="AJ393" i="12"/>
  <c r="AC393" i="12"/>
  <c r="AA393" i="12"/>
  <c r="AB393" i="12"/>
  <c r="AF393" i="12" s="1"/>
  <c r="AK393" i="12"/>
  <c r="P395" i="12"/>
  <c r="Q394" i="12"/>
  <c r="R394" i="12"/>
  <c r="AI393" i="12"/>
  <c r="A395" i="12"/>
  <c r="B394" i="12"/>
  <c r="S394" i="12"/>
  <c r="T394" i="12"/>
  <c r="U394" i="12" s="1"/>
  <c r="U393" i="12"/>
  <c r="V393" i="12"/>
  <c r="W392" i="12"/>
  <c r="AI394" i="12" l="1"/>
  <c r="AD393" i="12"/>
  <c r="AG393" i="12" s="1"/>
  <c r="X394" i="12"/>
  <c r="Y394" i="12"/>
  <c r="T395" i="12"/>
  <c r="U395" i="12" s="1"/>
  <c r="A396" i="12"/>
  <c r="S395" i="12"/>
  <c r="B395" i="12"/>
  <c r="Q395" i="12"/>
  <c r="P396" i="12"/>
  <c r="R395" i="12"/>
  <c r="V394" i="12"/>
  <c r="W393" i="12"/>
  <c r="AK394" i="12"/>
  <c r="AB394" i="12"/>
  <c r="AF394" i="12" s="1"/>
  <c r="AA394" i="12"/>
  <c r="AJ394" i="12"/>
  <c r="AC394" i="12"/>
  <c r="Y395" i="12" l="1"/>
  <c r="X395" i="12"/>
  <c r="AD394" i="12"/>
  <c r="AG394" i="12" s="1"/>
  <c r="V395" i="12"/>
  <c r="W394" i="12"/>
  <c r="AI395" i="12"/>
  <c r="A397" i="12"/>
  <c r="B396" i="12"/>
  <c r="S396" i="12"/>
  <c r="AK395" i="12"/>
  <c r="AC395" i="12"/>
  <c r="AB395" i="12"/>
  <c r="AF395" i="12" s="1"/>
  <c r="AA395" i="12"/>
  <c r="AJ395" i="12"/>
  <c r="P397" i="12"/>
  <c r="Q396" i="12"/>
  <c r="R396" i="12"/>
  <c r="T396" i="12"/>
  <c r="X396" i="12" l="1"/>
  <c r="Y396" i="12"/>
  <c r="T397" i="12"/>
  <c r="U397" i="12" s="1"/>
  <c r="U396" i="12"/>
  <c r="Q397" i="12"/>
  <c r="P398" i="12"/>
  <c r="R397" i="12"/>
  <c r="AD395" i="12"/>
  <c r="AG395" i="12" s="1"/>
  <c r="AK396" i="12"/>
  <c r="AB396" i="12"/>
  <c r="AF396" i="12" s="1"/>
  <c r="AJ396" i="12"/>
  <c r="AC396" i="12"/>
  <c r="AD396" i="12" s="1"/>
  <c r="AG396" i="12" s="1"/>
  <c r="AA396" i="12"/>
  <c r="V396" i="12"/>
  <c r="W395" i="12"/>
  <c r="A398" i="12"/>
  <c r="S397" i="12"/>
  <c r="B397" i="12"/>
  <c r="AI396" i="12"/>
  <c r="Y397" i="12" l="1"/>
  <c r="X397" i="12"/>
  <c r="B398" i="12"/>
  <c r="A399" i="12"/>
  <c r="S398" i="12"/>
  <c r="AC397" i="12"/>
  <c r="AK397" i="12"/>
  <c r="AA397" i="12"/>
  <c r="AJ397" i="12"/>
  <c r="AB397" i="12"/>
  <c r="AF397" i="12" s="1"/>
  <c r="T398" i="12"/>
  <c r="V397" i="12"/>
  <c r="W396" i="12"/>
  <c r="Q398" i="12"/>
  <c r="P399" i="12"/>
  <c r="R398" i="12"/>
  <c r="AI397" i="12"/>
  <c r="X398" i="12" l="1"/>
  <c r="Y398" i="12"/>
  <c r="V398" i="12"/>
  <c r="W397" i="12"/>
  <c r="P400" i="12"/>
  <c r="Q399" i="12"/>
  <c r="R399" i="12"/>
  <c r="T399" i="12"/>
  <c r="U399" i="12" s="1"/>
  <c r="U398" i="12"/>
  <c r="B399" i="12"/>
  <c r="A400" i="12"/>
  <c r="S399" i="12"/>
  <c r="AD397" i="12"/>
  <c r="AG397" i="12" s="1"/>
  <c r="AB398" i="12"/>
  <c r="AF398" i="12" s="1"/>
  <c r="AA398" i="12"/>
  <c r="AJ398" i="12"/>
  <c r="AC398" i="12"/>
  <c r="AK398" i="12"/>
  <c r="AI398" i="12"/>
  <c r="Y399" i="12" l="1"/>
  <c r="X399" i="12"/>
  <c r="AI399" i="12"/>
  <c r="AD398" i="12"/>
  <c r="AG398" i="12" s="1"/>
  <c r="A401" i="12"/>
  <c r="S400" i="12"/>
  <c r="B400" i="12"/>
  <c r="T400" i="12"/>
  <c r="P401" i="12"/>
  <c r="R400" i="12"/>
  <c r="Q400" i="12"/>
  <c r="AB399" i="12"/>
  <c r="AF399" i="12" s="1"/>
  <c r="AJ399" i="12"/>
  <c r="AC399" i="12"/>
  <c r="AA399" i="12"/>
  <c r="AK399" i="12"/>
  <c r="V399" i="12"/>
  <c r="W398" i="12"/>
  <c r="X400" i="12" l="1"/>
  <c r="Y400" i="12"/>
  <c r="V400" i="12"/>
  <c r="W399" i="12"/>
  <c r="AD399" i="12"/>
  <c r="AG399" i="12" s="1"/>
  <c r="B401" i="12"/>
  <c r="A402" i="12"/>
  <c r="S401" i="12"/>
  <c r="P402" i="12"/>
  <c r="Q401" i="12"/>
  <c r="R401" i="12"/>
  <c r="T401" i="12"/>
  <c r="U400" i="12"/>
  <c r="AB400" i="12"/>
  <c r="AF400" i="12" s="1"/>
  <c r="AJ400" i="12"/>
  <c r="AC400" i="12"/>
  <c r="AA400" i="12"/>
  <c r="AK400" i="12"/>
  <c r="AI400" i="12"/>
  <c r="AI401" i="12" l="1"/>
  <c r="Y401" i="12"/>
  <c r="X401" i="12"/>
  <c r="AD400" i="12"/>
  <c r="AG400" i="12" s="1"/>
  <c r="A403" i="12"/>
  <c r="S402" i="12"/>
  <c r="B402" i="12"/>
  <c r="V401" i="12"/>
  <c r="W400" i="12"/>
  <c r="P403" i="12"/>
  <c r="R402" i="12"/>
  <c r="AI402" i="12" s="1"/>
  <c r="Q402" i="12"/>
  <c r="AB401" i="12"/>
  <c r="AF401" i="12" s="1"/>
  <c r="AJ401" i="12"/>
  <c r="AC401" i="12"/>
  <c r="AA401" i="12"/>
  <c r="AK401" i="12"/>
  <c r="T402" i="12"/>
  <c r="U401" i="12"/>
  <c r="X402" i="12" l="1"/>
  <c r="Y402" i="12"/>
  <c r="V402" i="12"/>
  <c r="W401" i="12"/>
  <c r="B403" i="12"/>
  <c r="A404" i="12"/>
  <c r="S403" i="12"/>
  <c r="AD401" i="12"/>
  <c r="AG401" i="12" s="1"/>
  <c r="T403" i="12"/>
  <c r="P404" i="12"/>
  <c r="Q403" i="12"/>
  <c r="R403" i="12"/>
  <c r="AB402" i="12"/>
  <c r="AF402" i="12" s="1"/>
  <c r="AJ402" i="12"/>
  <c r="AC402" i="12"/>
  <c r="AA402" i="12"/>
  <c r="AK402" i="12"/>
  <c r="U402" i="12"/>
  <c r="Y403" i="12" l="1"/>
  <c r="X403" i="12"/>
  <c r="AB403" i="12"/>
  <c r="AF403" i="12" s="1"/>
  <c r="AJ403" i="12"/>
  <c r="AC403" i="12"/>
  <c r="AA403" i="12"/>
  <c r="AK403" i="12"/>
  <c r="AD402" i="12"/>
  <c r="AG402" i="12" s="1"/>
  <c r="A405" i="12"/>
  <c r="S404" i="12"/>
  <c r="B404" i="12"/>
  <c r="V403" i="12"/>
  <c r="W402" i="12"/>
  <c r="P405" i="12"/>
  <c r="R404" i="12"/>
  <c r="Q404" i="12"/>
  <c r="T404" i="12"/>
  <c r="U403" i="12"/>
  <c r="AI403" i="12"/>
  <c r="AD403" i="12" l="1"/>
  <c r="AG403" i="12" s="1"/>
  <c r="X404" i="12"/>
  <c r="Y404" i="12"/>
  <c r="AI404" i="12"/>
  <c r="AB404" i="12"/>
  <c r="AF404" i="12" s="1"/>
  <c r="AJ404" i="12"/>
  <c r="AC404" i="12"/>
  <c r="AA404" i="12"/>
  <c r="AK404" i="12"/>
  <c r="P406" i="12"/>
  <c r="Q405" i="12"/>
  <c r="R405" i="12"/>
  <c r="T405" i="12"/>
  <c r="U404" i="12"/>
  <c r="B405" i="12"/>
  <c r="A406" i="12"/>
  <c r="S405" i="12"/>
  <c r="V404" i="12"/>
  <c r="W403" i="12"/>
  <c r="AI405" i="12" l="1"/>
  <c r="Y405" i="12"/>
  <c r="X405" i="12"/>
  <c r="A407" i="12"/>
  <c r="S406" i="12"/>
  <c r="B406" i="12"/>
  <c r="AD404" i="12"/>
  <c r="AG404" i="12" s="1"/>
  <c r="V405" i="12"/>
  <c r="W404" i="12"/>
  <c r="P407" i="12"/>
  <c r="R406" i="12"/>
  <c r="Q406" i="12"/>
  <c r="AB405" i="12"/>
  <c r="AF405" i="12" s="1"/>
  <c r="AJ405" i="12"/>
  <c r="AC405" i="12"/>
  <c r="AA405" i="12"/>
  <c r="AK405" i="12"/>
  <c r="T406" i="12"/>
  <c r="U406" i="12" s="1"/>
  <c r="U405" i="12"/>
  <c r="X406" i="12" l="1"/>
  <c r="Y406" i="12"/>
  <c r="V406" i="12"/>
  <c r="W405" i="12"/>
  <c r="AD405" i="12"/>
  <c r="AG405" i="12" s="1"/>
  <c r="B407" i="12"/>
  <c r="A408" i="12"/>
  <c r="S407" i="12"/>
  <c r="T407" i="12"/>
  <c r="P408" i="12"/>
  <c r="Q407" i="12"/>
  <c r="R407" i="12"/>
  <c r="AI406" i="12"/>
  <c r="AB406" i="12"/>
  <c r="AF406" i="12" s="1"/>
  <c r="AJ406" i="12"/>
  <c r="AC406" i="12"/>
  <c r="AA406" i="12"/>
  <c r="AK406" i="12"/>
  <c r="Y407" i="12" l="1"/>
  <c r="X407" i="12"/>
  <c r="AD406" i="12"/>
  <c r="AG406" i="12" s="1"/>
  <c r="P409" i="12"/>
  <c r="R408" i="12"/>
  <c r="Q408" i="12"/>
  <c r="A409" i="12"/>
  <c r="S408" i="12"/>
  <c r="B408" i="12"/>
  <c r="T408" i="12"/>
  <c r="U407" i="12"/>
  <c r="V407" i="12"/>
  <c r="W406" i="12"/>
  <c r="AB407" i="12"/>
  <c r="AF407" i="12" s="1"/>
  <c r="AJ407" i="12"/>
  <c r="AC407" i="12"/>
  <c r="AA407" i="12"/>
  <c r="AK407" i="12"/>
  <c r="AI407" i="12"/>
  <c r="X408" i="12" l="1"/>
  <c r="Y408" i="12"/>
  <c r="AD407" i="12"/>
  <c r="AG407" i="12" s="1"/>
  <c r="AB408" i="12"/>
  <c r="AF408" i="12" s="1"/>
  <c r="AJ408" i="12"/>
  <c r="AC408" i="12"/>
  <c r="AA408" i="12"/>
  <c r="AK408" i="12"/>
  <c r="V408" i="12"/>
  <c r="W407" i="12"/>
  <c r="B409" i="12"/>
  <c r="A410" i="12"/>
  <c r="S409" i="12"/>
  <c r="P410" i="12"/>
  <c r="Q409" i="12"/>
  <c r="R409" i="12"/>
  <c r="T409" i="12"/>
  <c r="U408" i="12"/>
  <c r="AI408" i="12"/>
  <c r="AD408" i="12" l="1"/>
  <c r="AG408" i="12" s="1"/>
  <c r="Y409" i="12"/>
  <c r="X409" i="12"/>
  <c r="T410" i="12"/>
  <c r="U409" i="12"/>
  <c r="P411" i="12"/>
  <c r="R410" i="12"/>
  <c r="Q410" i="12"/>
  <c r="A411" i="12"/>
  <c r="S410" i="12"/>
  <c r="B410" i="12"/>
  <c r="V409" i="12"/>
  <c r="W408" i="12"/>
  <c r="AI409" i="12"/>
  <c r="AB409" i="12"/>
  <c r="AF409" i="12" s="1"/>
  <c r="AJ409" i="12"/>
  <c r="AC409" i="12"/>
  <c r="AA409" i="12"/>
  <c r="AK409" i="12"/>
  <c r="AI410" i="12" l="1"/>
  <c r="X410" i="12"/>
  <c r="Y410" i="12"/>
  <c r="AD409" i="12"/>
  <c r="AG409" i="12" s="1"/>
  <c r="AB410" i="12"/>
  <c r="AF410" i="12" s="1"/>
  <c r="AK410" i="12"/>
  <c r="AC410" i="12"/>
  <c r="AA410" i="12"/>
  <c r="AJ410" i="12"/>
  <c r="B411" i="12"/>
  <c r="A412" i="12"/>
  <c r="S411" i="12"/>
  <c r="Q411" i="12"/>
  <c r="P412" i="12"/>
  <c r="R411" i="12"/>
  <c r="V410" i="12"/>
  <c r="W409" i="12"/>
  <c r="T411" i="12"/>
  <c r="U410" i="12"/>
  <c r="Y411" i="12" l="1"/>
  <c r="X411" i="12"/>
  <c r="AD410" i="12"/>
  <c r="AG410" i="12" s="1"/>
  <c r="AJ411" i="12"/>
  <c r="AB411" i="12"/>
  <c r="AF411" i="12" s="1"/>
  <c r="AC411" i="12"/>
  <c r="AK411" i="12"/>
  <c r="AA411" i="12"/>
  <c r="AI411" i="12"/>
  <c r="V411" i="12"/>
  <c r="W410" i="12"/>
  <c r="T412" i="12"/>
  <c r="U412" i="12" s="1"/>
  <c r="U411" i="12"/>
  <c r="R412" i="12"/>
  <c r="P413" i="12"/>
  <c r="Q412" i="12"/>
  <c r="S412" i="12"/>
  <c r="A413" i="12"/>
  <c r="B412" i="12"/>
  <c r="X412" i="12" l="1"/>
  <c r="Y412" i="12"/>
  <c r="AD411" i="12"/>
  <c r="AG411" i="12" s="1"/>
  <c r="V412" i="12"/>
  <c r="W411" i="12"/>
  <c r="Q413" i="12"/>
  <c r="P414" i="12"/>
  <c r="R413" i="12"/>
  <c r="T413" i="12"/>
  <c r="AK412" i="12"/>
  <c r="AB412" i="12"/>
  <c r="AF412" i="12" s="1"/>
  <c r="AC412" i="12"/>
  <c r="AA412" i="12"/>
  <c r="AJ412" i="12"/>
  <c r="B413" i="12"/>
  <c r="A414" i="12"/>
  <c r="S413" i="12"/>
  <c r="AI412" i="12"/>
  <c r="Y413" i="12" l="1"/>
  <c r="X413" i="12"/>
  <c r="AI413" i="12"/>
  <c r="AD412" i="12"/>
  <c r="AG412" i="12" s="1"/>
  <c r="T414" i="12"/>
  <c r="U414" i="12" s="1"/>
  <c r="U413" i="12"/>
  <c r="R414" i="12"/>
  <c r="AI414" i="12" s="1"/>
  <c r="P415" i="12"/>
  <c r="Q414" i="12"/>
  <c r="S414" i="12"/>
  <c r="A415" i="12"/>
  <c r="B414" i="12"/>
  <c r="AK413" i="12"/>
  <c r="AC413" i="12"/>
  <c r="AB413" i="12"/>
  <c r="AF413" i="12" s="1"/>
  <c r="AA413" i="12"/>
  <c r="AJ413" i="12"/>
  <c r="V413" i="12"/>
  <c r="W412" i="12"/>
  <c r="X414" i="12" l="1"/>
  <c r="Y414" i="12"/>
  <c r="AD413" i="12"/>
  <c r="AG413" i="12" s="1"/>
  <c r="B415" i="12"/>
  <c r="A416" i="12"/>
  <c r="S415" i="12"/>
  <c r="V414" i="12"/>
  <c r="W413" i="12"/>
  <c r="T415" i="12"/>
  <c r="AK414" i="12"/>
  <c r="AB414" i="12"/>
  <c r="AF414" i="12" s="1"/>
  <c r="AC414" i="12"/>
  <c r="AA414" i="12"/>
  <c r="AJ414" i="12"/>
  <c r="Q415" i="12"/>
  <c r="P416" i="12"/>
  <c r="R415" i="12"/>
  <c r="AI415" i="12" l="1"/>
  <c r="Y415" i="12"/>
  <c r="X415" i="12"/>
  <c r="S416" i="12"/>
  <c r="A417" i="12"/>
  <c r="B416" i="12"/>
  <c r="R416" i="12"/>
  <c r="P417" i="12"/>
  <c r="Q416" i="12"/>
  <c r="AD414" i="12"/>
  <c r="AG414" i="12" s="1"/>
  <c r="T416" i="12"/>
  <c r="U416" i="12" s="1"/>
  <c r="U415" i="12"/>
  <c r="V415" i="12"/>
  <c r="W414" i="12"/>
  <c r="AC415" i="12"/>
  <c r="AB415" i="12"/>
  <c r="AF415" i="12" s="1"/>
  <c r="AA415" i="12"/>
  <c r="AK415" i="12"/>
  <c r="AJ415" i="12"/>
  <c r="AD415" i="12" l="1"/>
  <c r="AG415" i="12" s="1"/>
  <c r="X416" i="12"/>
  <c r="Y416" i="12"/>
  <c r="V416" i="12"/>
  <c r="W415" i="12"/>
  <c r="T417" i="12"/>
  <c r="Q417" i="12"/>
  <c r="P418" i="12"/>
  <c r="R417" i="12"/>
  <c r="AK416" i="12"/>
  <c r="AB416" i="12"/>
  <c r="AF416" i="12" s="1"/>
  <c r="AC416" i="12"/>
  <c r="AA416" i="12"/>
  <c r="AJ416" i="12"/>
  <c r="B417" i="12"/>
  <c r="A418" i="12"/>
  <c r="S417" i="12"/>
  <c r="AI416" i="12"/>
  <c r="Y417" i="12" l="1"/>
  <c r="X417" i="12"/>
  <c r="AI417" i="12"/>
  <c r="S418" i="12"/>
  <c r="A419" i="12"/>
  <c r="B418" i="12"/>
  <c r="AK417" i="12"/>
  <c r="AB417" i="12"/>
  <c r="AF417" i="12" s="1"/>
  <c r="AA417" i="12"/>
  <c r="AJ417" i="12"/>
  <c r="AC417" i="12"/>
  <c r="AD416" i="12"/>
  <c r="AG416" i="12" s="1"/>
  <c r="R418" i="12"/>
  <c r="P419" i="12"/>
  <c r="Q418" i="12"/>
  <c r="T418" i="12"/>
  <c r="U417" i="12"/>
  <c r="V417" i="12"/>
  <c r="W416" i="12"/>
  <c r="AD417" i="12" l="1"/>
  <c r="AG417" i="12" s="1"/>
  <c r="X418" i="12"/>
  <c r="Y418" i="12"/>
  <c r="V418" i="12"/>
  <c r="W417" i="12"/>
  <c r="B419" i="12"/>
  <c r="A420" i="12"/>
  <c r="S419" i="12"/>
  <c r="Q419" i="12"/>
  <c r="P420" i="12"/>
  <c r="R419" i="12"/>
  <c r="T419" i="12"/>
  <c r="U418" i="12"/>
  <c r="AK418" i="12"/>
  <c r="AB418" i="12"/>
  <c r="AF418" i="12" s="1"/>
  <c r="AJ418" i="12"/>
  <c r="AC418" i="12"/>
  <c r="AA418" i="12"/>
  <c r="AI418" i="12"/>
  <c r="Y419" i="12" l="1"/>
  <c r="X419" i="12"/>
  <c r="AD418" i="12"/>
  <c r="AG418" i="12" s="1"/>
  <c r="T420" i="12"/>
  <c r="U419" i="12"/>
  <c r="S420" i="12"/>
  <c r="A421" i="12"/>
  <c r="B420" i="12"/>
  <c r="AI419" i="12"/>
  <c r="AA419" i="12"/>
  <c r="AJ419" i="12"/>
  <c r="AB419" i="12"/>
  <c r="AF419" i="12" s="1"/>
  <c r="AC419" i="12"/>
  <c r="AK419" i="12"/>
  <c r="R420" i="12"/>
  <c r="P421" i="12"/>
  <c r="Q420" i="12"/>
  <c r="V419" i="12"/>
  <c r="W418" i="12"/>
  <c r="X420" i="12" l="1"/>
  <c r="Y420" i="12"/>
  <c r="V420" i="12"/>
  <c r="W419" i="12"/>
  <c r="AD419" i="12"/>
  <c r="AG419" i="12" s="1"/>
  <c r="B421" i="12"/>
  <c r="A422" i="12"/>
  <c r="S421" i="12"/>
  <c r="T421" i="12"/>
  <c r="U421" i="12" s="1"/>
  <c r="U420" i="12"/>
  <c r="Q421" i="12"/>
  <c r="P422" i="12"/>
  <c r="R421" i="12"/>
  <c r="AI420" i="12"/>
  <c r="AK420" i="12"/>
  <c r="AB420" i="12"/>
  <c r="AF420" i="12" s="1"/>
  <c r="AC420" i="12"/>
  <c r="AA420" i="12"/>
  <c r="AJ420" i="12"/>
  <c r="AD420" i="12" l="1"/>
  <c r="AG420" i="12" s="1"/>
  <c r="Y421" i="12"/>
  <c r="X421" i="12"/>
  <c r="AI421" i="12"/>
  <c r="R422" i="12"/>
  <c r="P423" i="12"/>
  <c r="Q422" i="12"/>
  <c r="AI422" i="12" s="1"/>
  <c r="S422" i="12"/>
  <c r="A423" i="12"/>
  <c r="B422" i="12"/>
  <c r="T422" i="12"/>
  <c r="AK421" i="12"/>
  <c r="AA421" i="12"/>
  <c r="AB421" i="12"/>
  <c r="AF421" i="12" s="1"/>
  <c r="AJ421" i="12"/>
  <c r="AC421" i="12"/>
  <c r="V421" i="12"/>
  <c r="W420" i="12"/>
  <c r="X422" i="12" l="1"/>
  <c r="Y422" i="12"/>
  <c r="AD421" i="12"/>
  <c r="AG421" i="12" s="1"/>
  <c r="V422" i="12"/>
  <c r="W421" i="12"/>
  <c r="AK422" i="12"/>
  <c r="AB422" i="12"/>
  <c r="AF422" i="12" s="1"/>
  <c r="AA422" i="12"/>
  <c r="AJ422" i="12"/>
  <c r="AC422" i="12"/>
  <c r="T423" i="12"/>
  <c r="U422" i="12"/>
  <c r="B423" i="12"/>
  <c r="A424" i="12"/>
  <c r="S423" i="12"/>
  <c r="Q423" i="12"/>
  <c r="P424" i="12"/>
  <c r="R423" i="12"/>
  <c r="Y423" i="12" l="1"/>
  <c r="X423" i="12"/>
  <c r="AI423" i="12"/>
  <c r="AD422" i="12"/>
  <c r="AG422" i="12" s="1"/>
  <c r="R424" i="12"/>
  <c r="Q424" i="12"/>
  <c r="P425" i="12"/>
  <c r="S424" i="12"/>
  <c r="B424" i="12"/>
  <c r="A425" i="12"/>
  <c r="T424" i="12"/>
  <c r="U423" i="12"/>
  <c r="AA423" i="12"/>
  <c r="AK423" i="12"/>
  <c r="AJ423" i="12"/>
  <c r="AC423" i="12"/>
  <c r="AB423" i="12"/>
  <c r="AF423" i="12" s="1"/>
  <c r="V423" i="12"/>
  <c r="W422" i="12"/>
  <c r="X424" i="12" l="1"/>
  <c r="Y424" i="12"/>
  <c r="AI424" i="12"/>
  <c r="U424" i="12"/>
  <c r="P426" i="12"/>
  <c r="R425" i="12"/>
  <c r="Q425" i="12"/>
  <c r="V424" i="12"/>
  <c r="W423" i="12"/>
  <c r="AB424" i="12"/>
  <c r="AF424" i="12" s="1"/>
  <c r="AC424" i="12"/>
  <c r="AJ424" i="12"/>
  <c r="AK424" i="12"/>
  <c r="AA424" i="12"/>
  <c r="AD423" i="12"/>
  <c r="AG423" i="12" s="1"/>
  <c r="S425" i="12"/>
  <c r="B425" i="12"/>
  <c r="A426" i="12"/>
  <c r="AI425" i="12"/>
  <c r="T425" i="12"/>
  <c r="Y425" i="12" l="1"/>
  <c r="X425" i="12"/>
  <c r="AD424" i="12"/>
  <c r="AG424" i="12" s="1"/>
  <c r="T426" i="12"/>
  <c r="U426" i="12" s="1"/>
  <c r="U425" i="12"/>
  <c r="A427" i="12"/>
  <c r="S426" i="12"/>
  <c r="B426" i="12"/>
  <c r="AB425" i="12"/>
  <c r="AF425" i="12" s="1"/>
  <c r="AK425" i="12"/>
  <c r="AJ425" i="12"/>
  <c r="AC425" i="12"/>
  <c r="AA425" i="12"/>
  <c r="P427" i="12"/>
  <c r="R426" i="12"/>
  <c r="Q426" i="12"/>
  <c r="W424" i="12"/>
  <c r="V425" i="12"/>
  <c r="AI426" i="12" l="1"/>
  <c r="X426" i="12"/>
  <c r="Y426" i="12"/>
  <c r="W425" i="12"/>
  <c r="V426" i="12"/>
  <c r="A428" i="12"/>
  <c r="S427" i="12"/>
  <c r="B427" i="12"/>
  <c r="Q427" i="12"/>
  <c r="P428" i="12"/>
  <c r="R427" i="12"/>
  <c r="AI427" i="12" s="1"/>
  <c r="AB426" i="12"/>
  <c r="AF426" i="12" s="1"/>
  <c r="AK426" i="12"/>
  <c r="AJ426" i="12"/>
  <c r="AC426" i="12"/>
  <c r="AA426" i="12"/>
  <c r="T427" i="12"/>
  <c r="AD425" i="12"/>
  <c r="AG425" i="12" s="1"/>
  <c r="Y427" i="12" l="1"/>
  <c r="X427" i="12"/>
  <c r="AD426" i="12"/>
  <c r="AG426" i="12" s="1"/>
  <c r="Q428" i="12"/>
  <c r="P429" i="12"/>
  <c r="R428" i="12"/>
  <c r="T428" i="12"/>
  <c r="U428" i="12" s="1"/>
  <c r="U427" i="12"/>
  <c r="AI428" i="12"/>
  <c r="B428" i="12"/>
  <c r="A429" i="12"/>
  <c r="S428" i="12"/>
  <c r="AB427" i="12"/>
  <c r="AF427" i="12" s="1"/>
  <c r="AA427" i="12"/>
  <c r="AK427" i="12"/>
  <c r="AJ427" i="12"/>
  <c r="AC427" i="12"/>
  <c r="AD427" i="12" s="1"/>
  <c r="AG427" i="12" s="1"/>
  <c r="W426" i="12"/>
  <c r="V427" i="12"/>
  <c r="X428" i="12" l="1"/>
  <c r="Y428" i="12"/>
  <c r="V428" i="12"/>
  <c r="W427" i="12"/>
  <c r="S429" i="12"/>
  <c r="B429" i="12"/>
  <c r="A430" i="12"/>
  <c r="P430" i="12"/>
  <c r="R429" i="12"/>
  <c r="Q429" i="12"/>
  <c r="AB428" i="12"/>
  <c r="AF428" i="12" s="1"/>
  <c r="AJ428" i="12"/>
  <c r="AC428" i="12"/>
  <c r="AA428" i="12"/>
  <c r="AK428" i="12"/>
  <c r="T429" i="12"/>
  <c r="AD428" i="12" l="1"/>
  <c r="AG428" i="12" s="1"/>
  <c r="Y429" i="12"/>
  <c r="X429" i="12"/>
  <c r="AI429" i="12"/>
  <c r="T430" i="12"/>
  <c r="U429" i="12"/>
  <c r="U430" i="12"/>
  <c r="AB429" i="12"/>
  <c r="AF429" i="12" s="1"/>
  <c r="AK429" i="12"/>
  <c r="AJ429" i="12"/>
  <c r="AC429" i="12"/>
  <c r="AA429" i="12"/>
  <c r="P431" i="12"/>
  <c r="R430" i="12"/>
  <c r="Q430" i="12"/>
  <c r="AI430" i="12" s="1"/>
  <c r="A431" i="12"/>
  <c r="S430" i="12"/>
  <c r="B430" i="12"/>
  <c r="V429" i="12"/>
  <c r="W428" i="12"/>
  <c r="X430" i="12" l="1"/>
  <c r="Y430" i="12"/>
  <c r="AD429" i="12"/>
  <c r="AG429" i="12" s="1"/>
  <c r="T431" i="12"/>
  <c r="AB430" i="12"/>
  <c r="AF430" i="12" s="1"/>
  <c r="AK430" i="12"/>
  <c r="AJ430" i="12"/>
  <c r="AC430" i="12"/>
  <c r="AD430" i="12" s="1"/>
  <c r="AG430" i="12" s="1"/>
  <c r="AA430" i="12"/>
  <c r="W429" i="12"/>
  <c r="V430" i="12"/>
  <c r="A432" i="12"/>
  <c r="S431" i="12"/>
  <c r="B431" i="12"/>
  <c r="Q431" i="12"/>
  <c r="P432" i="12"/>
  <c r="R431" i="12"/>
  <c r="Y431" i="12" l="1"/>
  <c r="X431" i="12"/>
  <c r="Q432" i="12"/>
  <c r="P433" i="12"/>
  <c r="R432" i="12"/>
  <c r="B432" i="12"/>
  <c r="A433" i="12"/>
  <c r="S432" i="12"/>
  <c r="AB431" i="12"/>
  <c r="AF431" i="12" s="1"/>
  <c r="AA431" i="12"/>
  <c r="AK431" i="12"/>
  <c r="AJ431" i="12"/>
  <c r="AC431" i="12"/>
  <c r="AD431" i="12" s="1"/>
  <c r="AG431" i="12" s="1"/>
  <c r="W430" i="12"/>
  <c r="V431" i="12"/>
  <c r="T432" i="12"/>
  <c r="U431" i="12"/>
  <c r="AI431" i="12"/>
  <c r="AI432" i="12" l="1"/>
  <c r="X432" i="12"/>
  <c r="Y432" i="12"/>
  <c r="T433" i="12"/>
  <c r="U433" i="12" s="1"/>
  <c r="U432" i="12"/>
  <c r="V432" i="12"/>
  <c r="W431" i="12"/>
  <c r="S433" i="12"/>
  <c r="B433" i="12"/>
  <c r="A434" i="12"/>
  <c r="P434" i="12"/>
  <c r="R433" i="12"/>
  <c r="Q433" i="12"/>
  <c r="AB432" i="12"/>
  <c r="AF432" i="12" s="1"/>
  <c r="AJ432" i="12"/>
  <c r="AC432" i="12"/>
  <c r="AA432" i="12"/>
  <c r="AK432" i="12"/>
  <c r="Y433" i="12" l="1"/>
  <c r="X433" i="12"/>
  <c r="AI433" i="12"/>
  <c r="AD432" i="12"/>
  <c r="AG432" i="12" s="1"/>
  <c r="AB433" i="12"/>
  <c r="AF433" i="12" s="1"/>
  <c r="AK433" i="12"/>
  <c r="AJ433" i="12"/>
  <c r="AC433" i="12"/>
  <c r="AA433" i="12"/>
  <c r="V433" i="12"/>
  <c r="W432" i="12"/>
  <c r="P435" i="12"/>
  <c r="R434" i="12"/>
  <c r="Q434" i="12"/>
  <c r="T434" i="12"/>
  <c r="A435" i="12"/>
  <c r="S434" i="12"/>
  <c r="B434" i="12"/>
  <c r="AI434" i="12" l="1"/>
  <c r="X434" i="12"/>
  <c r="Y434" i="12"/>
  <c r="AD433" i="12"/>
  <c r="AG433" i="12" s="1"/>
  <c r="T435" i="12"/>
  <c r="U435" i="12"/>
  <c r="U434" i="12"/>
  <c r="Q435" i="12"/>
  <c r="P436" i="12"/>
  <c r="R435" i="12"/>
  <c r="AI435" i="12" s="1"/>
  <c r="AB434" i="12"/>
  <c r="AF434" i="12" s="1"/>
  <c r="AK434" i="12"/>
  <c r="AJ434" i="12"/>
  <c r="AC434" i="12"/>
  <c r="AA434" i="12"/>
  <c r="A436" i="12"/>
  <c r="S435" i="12"/>
  <c r="B435" i="12"/>
  <c r="W433" i="12"/>
  <c r="V434" i="12"/>
  <c r="Y435" i="12" l="1"/>
  <c r="X435" i="12"/>
  <c r="AD434" i="12"/>
  <c r="AG434" i="12" s="1"/>
  <c r="W434" i="12"/>
  <c r="V435" i="12"/>
  <c r="T436" i="12"/>
  <c r="AB435" i="12"/>
  <c r="AF435" i="12" s="1"/>
  <c r="AA435" i="12"/>
  <c r="AK435" i="12"/>
  <c r="AJ435" i="12"/>
  <c r="AC435" i="12"/>
  <c r="AD435" i="12" s="1"/>
  <c r="AG435" i="12" s="1"/>
  <c r="B436" i="12"/>
  <c r="A437" i="12"/>
  <c r="S436" i="12"/>
  <c r="Q436" i="12"/>
  <c r="P437" i="12"/>
  <c r="R436" i="12"/>
  <c r="X436" i="12" l="1"/>
  <c r="Y436" i="12"/>
  <c r="AB436" i="12"/>
  <c r="AF436" i="12" s="1"/>
  <c r="AJ436" i="12"/>
  <c r="AC436" i="12"/>
  <c r="AA436" i="12"/>
  <c r="AK436" i="12"/>
  <c r="V436" i="12"/>
  <c r="W435" i="12"/>
  <c r="T437" i="12"/>
  <c r="U437" i="12" s="1"/>
  <c r="U436" i="12"/>
  <c r="P438" i="12"/>
  <c r="R437" i="12"/>
  <c r="Q437" i="12"/>
  <c r="S437" i="12"/>
  <c r="B437" i="12"/>
  <c r="A438" i="12"/>
  <c r="AI436" i="12"/>
  <c r="AD436" i="12" l="1"/>
  <c r="AG436" i="12" s="1"/>
  <c r="Y437" i="12"/>
  <c r="X437" i="12"/>
  <c r="AB437" i="12"/>
  <c r="AF437" i="12" s="1"/>
  <c r="AK437" i="12"/>
  <c r="AJ437" i="12"/>
  <c r="AC437" i="12"/>
  <c r="AA437" i="12"/>
  <c r="P439" i="12"/>
  <c r="R438" i="12"/>
  <c r="Q438" i="12"/>
  <c r="V437" i="12"/>
  <c r="W436" i="12"/>
  <c r="T438" i="12"/>
  <c r="A439" i="12"/>
  <c r="S438" i="12"/>
  <c r="B438" i="12"/>
  <c r="U438" i="12"/>
  <c r="AI437" i="12"/>
  <c r="X438" i="12" l="1"/>
  <c r="Y438" i="12"/>
  <c r="AD437" i="12"/>
  <c r="AG437" i="12" s="1"/>
  <c r="T439" i="12"/>
  <c r="U439" i="12" s="1"/>
  <c r="AI438" i="12"/>
  <c r="AB438" i="12"/>
  <c r="AF438" i="12" s="1"/>
  <c r="AK438" i="12"/>
  <c r="AJ438" i="12"/>
  <c r="AC438" i="12"/>
  <c r="AA438" i="12"/>
  <c r="W437" i="12"/>
  <c r="V438" i="12"/>
  <c r="A440" i="12"/>
  <c r="S439" i="12"/>
  <c r="B439" i="12"/>
  <c r="Q439" i="12"/>
  <c r="P440" i="12"/>
  <c r="R439" i="12"/>
  <c r="Y439" i="12" l="1"/>
  <c r="X439" i="12"/>
  <c r="AD438" i="12"/>
  <c r="AG438" i="12" s="1"/>
  <c r="Q440" i="12"/>
  <c r="P441" i="12"/>
  <c r="R440" i="12"/>
  <c r="AI440" i="12" s="1"/>
  <c r="B440" i="12"/>
  <c r="A441" i="12"/>
  <c r="S440" i="12"/>
  <c r="AB439" i="12"/>
  <c r="AF439" i="12" s="1"/>
  <c r="AA439" i="12"/>
  <c r="AK439" i="12"/>
  <c r="AJ439" i="12"/>
  <c r="AC439" i="12"/>
  <c r="W438" i="12"/>
  <c r="V439" i="12"/>
  <c r="T440" i="12"/>
  <c r="AI439" i="12"/>
  <c r="X440" i="12" l="1"/>
  <c r="Y440" i="12"/>
  <c r="AD439" i="12"/>
  <c r="AG439" i="12" s="1"/>
  <c r="T441" i="12"/>
  <c r="U441" i="12" s="1"/>
  <c r="U440" i="12"/>
  <c r="V440" i="12"/>
  <c r="W439" i="12"/>
  <c r="S441" i="12"/>
  <c r="A442" i="12"/>
  <c r="B441" i="12"/>
  <c r="R441" i="12"/>
  <c r="P442" i="12"/>
  <c r="Q441" i="12"/>
  <c r="AI441" i="12" s="1"/>
  <c r="AB440" i="12"/>
  <c r="AF440" i="12" s="1"/>
  <c r="AJ440" i="12"/>
  <c r="AC440" i="12"/>
  <c r="AA440" i="12"/>
  <c r="AK440" i="12"/>
  <c r="Y441" i="12" l="1"/>
  <c r="X441" i="12"/>
  <c r="AD440" i="12"/>
  <c r="AG440" i="12" s="1"/>
  <c r="Q442" i="12"/>
  <c r="P443" i="12"/>
  <c r="R442" i="12"/>
  <c r="B442" i="12"/>
  <c r="A443" i="12"/>
  <c r="S442" i="12"/>
  <c r="V441" i="12"/>
  <c r="W440" i="12"/>
  <c r="T442" i="12"/>
  <c r="AK441" i="12"/>
  <c r="AB441" i="12"/>
  <c r="AF441" i="12" s="1"/>
  <c r="AJ441" i="12"/>
  <c r="AC441" i="12"/>
  <c r="AA441" i="12"/>
  <c r="AI442" i="12" l="1"/>
  <c r="X442" i="12"/>
  <c r="Y442" i="12"/>
  <c r="T443" i="12"/>
  <c r="U443" i="12" s="1"/>
  <c r="U442" i="12"/>
  <c r="R443" i="12"/>
  <c r="P444" i="12"/>
  <c r="Q443" i="12"/>
  <c r="S443" i="12"/>
  <c r="A444" i="12"/>
  <c r="B443" i="12"/>
  <c r="AD441" i="12"/>
  <c r="AG441" i="12" s="1"/>
  <c r="V442" i="12"/>
  <c r="W441" i="12"/>
  <c r="AA442" i="12"/>
  <c r="AK442" i="12"/>
  <c r="AJ442" i="12"/>
  <c r="AC442" i="12"/>
  <c r="AB442" i="12"/>
  <c r="AF442" i="12" s="1"/>
  <c r="Y443" i="12" l="1"/>
  <c r="X443" i="12"/>
  <c r="AI443" i="12"/>
  <c r="AD442" i="12"/>
  <c r="AG442" i="12" s="1"/>
  <c r="V443" i="12"/>
  <c r="W442" i="12"/>
  <c r="AK443" i="12"/>
  <c r="AB443" i="12"/>
  <c r="AF443" i="12" s="1"/>
  <c r="AJ443" i="12"/>
  <c r="AC443" i="12"/>
  <c r="AA443" i="12"/>
  <c r="P445" i="12"/>
  <c r="Q444" i="12"/>
  <c r="R444" i="12"/>
  <c r="T444" i="12"/>
  <c r="A445" i="12"/>
  <c r="B444" i="12"/>
  <c r="S444" i="12"/>
  <c r="X444" i="12" l="1"/>
  <c r="Y444" i="12"/>
  <c r="AD443" i="12"/>
  <c r="AG443" i="12" s="1"/>
  <c r="AB444" i="12"/>
  <c r="AF444" i="12" s="1"/>
  <c r="AK444" i="12"/>
  <c r="AA444" i="12"/>
  <c r="AJ444" i="12"/>
  <c r="AC444" i="12"/>
  <c r="AD444" i="12" s="1"/>
  <c r="AG444" i="12" s="1"/>
  <c r="A446" i="12"/>
  <c r="S445" i="12"/>
  <c r="B445" i="12"/>
  <c r="V444" i="12"/>
  <c r="W443" i="12"/>
  <c r="T445" i="12"/>
  <c r="U444" i="12"/>
  <c r="Q445" i="12"/>
  <c r="P446" i="12"/>
  <c r="R445" i="12"/>
  <c r="AI444" i="12"/>
  <c r="Y445" i="12" l="1"/>
  <c r="X445" i="12"/>
  <c r="P447" i="12"/>
  <c r="Q446" i="12"/>
  <c r="R446" i="12"/>
  <c r="AB445" i="12"/>
  <c r="AF445" i="12" s="1"/>
  <c r="AJ445" i="12"/>
  <c r="AC445" i="12"/>
  <c r="AA445" i="12"/>
  <c r="AK445" i="12"/>
  <c r="T446" i="12"/>
  <c r="AI446" i="12"/>
  <c r="U445" i="12"/>
  <c r="W444" i="12"/>
  <c r="V445" i="12"/>
  <c r="B446" i="12"/>
  <c r="A447" i="12"/>
  <c r="S446" i="12"/>
  <c r="AI445" i="12"/>
  <c r="X446" i="12" l="1"/>
  <c r="Y446" i="12"/>
  <c r="AD445" i="12"/>
  <c r="AG445" i="12" s="1"/>
  <c r="A448" i="12"/>
  <c r="S447" i="12"/>
  <c r="B447" i="12"/>
  <c r="AB446" i="12"/>
  <c r="AF446" i="12" s="1"/>
  <c r="AJ446" i="12"/>
  <c r="AC446" i="12"/>
  <c r="AA446" i="12"/>
  <c r="AK446" i="12"/>
  <c r="V446" i="12"/>
  <c r="W445" i="12"/>
  <c r="T447" i="12"/>
  <c r="U446" i="12"/>
  <c r="Q447" i="12"/>
  <c r="P448" i="12"/>
  <c r="R447" i="12"/>
  <c r="AI447" i="12" l="1"/>
  <c r="AD446" i="12"/>
  <c r="AG446" i="12" s="1"/>
  <c r="Y447" i="12"/>
  <c r="X447" i="12"/>
  <c r="B448" i="12"/>
  <c r="A449" i="12"/>
  <c r="S448" i="12"/>
  <c r="T448" i="12"/>
  <c r="U448" i="12" s="1"/>
  <c r="U447" i="12"/>
  <c r="P449" i="12"/>
  <c r="Q448" i="12"/>
  <c r="R448" i="12"/>
  <c r="V447" i="12"/>
  <c r="W446" i="12"/>
  <c r="AB447" i="12"/>
  <c r="AF447" i="12" s="1"/>
  <c r="AJ447" i="12"/>
  <c r="AC447" i="12"/>
  <c r="AA447" i="12"/>
  <c r="AK447" i="12"/>
  <c r="X448" i="12" l="1"/>
  <c r="Y448" i="12"/>
  <c r="AI448" i="12"/>
  <c r="AD447" i="12"/>
  <c r="AG447" i="12" s="1"/>
  <c r="Q449" i="12"/>
  <c r="P450" i="12"/>
  <c r="R449" i="12"/>
  <c r="V448" i="12"/>
  <c r="W447" i="12"/>
  <c r="A450" i="12"/>
  <c r="S449" i="12"/>
  <c r="B449" i="12"/>
  <c r="T449" i="12"/>
  <c r="AB448" i="12"/>
  <c r="AF448" i="12" s="1"/>
  <c r="AJ448" i="12"/>
  <c r="AC448" i="12"/>
  <c r="AA448" i="12"/>
  <c r="AK448" i="12"/>
  <c r="Y449" i="12" l="1"/>
  <c r="X449" i="12"/>
  <c r="AI449" i="12"/>
  <c r="AD448" i="12"/>
  <c r="AG448" i="12" s="1"/>
  <c r="T450" i="12"/>
  <c r="U450" i="12"/>
  <c r="U449" i="12"/>
  <c r="B450" i="12"/>
  <c r="A451" i="12"/>
  <c r="S450" i="12"/>
  <c r="P451" i="12"/>
  <c r="Q450" i="12"/>
  <c r="R450" i="12"/>
  <c r="AB449" i="12"/>
  <c r="AF449" i="12" s="1"/>
  <c r="AJ449" i="12"/>
  <c r="AC449" i="12"/>
  <c r="AA449" i="12"/>
  <c r="AK449" i="12"/>
  <c r="AI450" i="12"/>
  <c r="V449" i="12"/>
  <c r="W448" i="12"/>
  <c r="X450" i="12" l="1"/>
  <c r="Y450" i="12"/>
  <c r="V450" i="12"/>
  <c r="W449" i="12"/>
  <c r="AD449" i="12"/>
  <c r="AG449" i="12" s="1"/>
  <c r="A452" i="12"/>
  <c r="S451" i="12"/>
  <c r="B451" i="12"/>
  <c r="Q451" i="12"/>
  <c r="P452" i="12"/>
  <c r="R451" i="12"/>
  <c r="AB450" i="12"/>
  <c r="AF450" i="12" s="1"/>
  <c r="AJ450" i="12"/>
  <c r="AC450" i="12"/>
  <c r="AA450" i="12"/>
  <c r="AK450" i="12"/>
  <c r="T451" i="12"/>
  <c r="Y451" i="12" l="1"/>
  <c r="X451" i="12"/>
  <c r="AI451" i="12"/>
  <c r="AD450" i="12"/>
  <c r="AG450" i="12" s="1"/>
  <c r="AB451" i="12"/>
  <c r="AF451" i="12" s="1"/>
  <c r="AJ451" i="12"/>
  <c r="AC451" i="12"/>
  <c r="AD451" i="12" s="1"/>
  <c r="AG451" i="12" s="1"/>
  <c r="AA451" i="12"/>
  <c r="AK451" i="12"/>
  <c r="P453" i="12"/>
  <c r="Q452" i="12"/>
  <c r="AI452" i="12" s="1"/>
  <c r="R452" i="12"/>
  <c r="B452" i="12"/>
  <c r="A453" i="12"/>
  <c r="S452" i="12"/>
  <c r="T452" i="12"/>
  <c r="U451" i="12"/>
  <c r="V451" i="12"/>
  <c r="W450" i="12"/>
  <c r="X452" i="12" l="1"/>
  <c r="Y452" i="12"/>
  <c r="T453" i="12"/>
  <c r="U452" i="12"/>
  <c r="V452" i="12"/>
  <c r="W451" i="12"/>
  <c r="A454" i="12"/>
  <c r="S453" i="12"/>
  <c r="B453" i="12"/>
  <c r="Q453" i="12"/>
  <c r="P454" i="12"/>
  <c r="R453" i="12"/>
  <c r="AB452" i="12"/>
  <c r="AF452" i="12" s="1"/>
  <c r="AJ452" i="12"/>
  <c r="AC452" i="12"/>
  <c r="AA452" i="12"/>
  <c r="AK452" i="12"/>
  <c r="Y453" i="12" l="1"/>
  <c r="X453" i="12"/>
  <c r="AI453" i="12"/>
  <c r="AD452" i="12"/>
  <c r="AG452" i="12" s="1"/>
  <c r="P455" i="12"/>
  <c r="Q454" i="12"/>
  <c r="R454" i="12"/>
  <c r="B454" i="12"/>
  <c r="A455" i="12"/>
  <c r="S454" i="12"/>
  <c r="AB453" i="12"/>
  <c r="AF453" i="12" s="1"/>
  <c r="AJ453" i="12"/>
  <c r="AC453" i="12"/>
  <c r="AA453" i="12"/>
  <c r="AK453" i="12"/>
  <c r="V453" i="12"/>
  <c r="W452" i="12"/>
  <c r="T454" i="12"/>
  <c r="U453" i="12"/>
  <c r="AI454" i="12" l="1"/>
  <c r="X454" i="12"/>
  <c r="Y454" i="12"/>
  <c r="AD453" i="12"/>
  <c r="AG453" i="12" s="1"/>
  <c r="T455" i="12"/>
  <c r="U455" i="12"/>
  <c r="U454" i="12"/>
  <c r="AB454" i="12"/>
  <c r="AF454" i="12" s="1"/>
  <c r="AJ454" i="12"/>
  <c r="AC454" i="12"/>
  <c r="AD454" i="12" s="1"/>
  <c r="AG454" i="12" s="1"/>
  <c r="AA454" i="12"/>
  <c r="AK454" i="12"/>
  <c r="V454" i="12"/>
  <c r="W453" i="12"/>
  <c r="A456" i="12"/>
  <c r="S455" i="12"/>
  <c r="B455" i="12"/>
  <c r="Q455" i="12"/>
  <c r="P456" i="12"/>
  <c r="R455" i="12"/>
  <c r="Y455" i="12" l="1"/>
  <c r="X455" i="12"/>
  <c r="AB455" i="12"/>
  <c r="AF455" i="12" s="1"/>
  <c r="AJ455" i="12"/>
  <c r="AC455" i="12"/>
  <c r="AA455" i="12"/>
  <c r="AK455" i="12"/>
  <c r="AI455" i="12"/>
  <c r="P457" i="12"/>
  <c r="Q456" i="12"/>
  <c r="R456" i="12"/>
  <c r="B456" i="12"/>
  <c r="A457" i="12"/>
  <c r="S456" i="12"/>
  <c r="V455" i="12"/>
  <c r="W454" i="12"/>
  <c r="T456" i="12"/>
  <c r="AD455" i="12" l="1"/>
  <c r="AG455" i="12" s="1"/>
  <c r="X456" i="12"/>
  <c r="Y456" i="12"/>
  <c r="T457" i="12"/>
  <c r="U457" i="12" s="1"/>
  <c r="U456" i="12"/>
  <c r="A458" i="12"/>
  <c r="S457" i="12"/>
  <c r="B457" i="12"/>
  <c r="Q457" i="12"/>
  <c r="P458" i="12"/>
  <c r="R457" i="12"/>
  <c r="V456" i="12"/>
  <c r="W455" i="12"/>
  <c r="AB456" i="12"/>
  <c r="AF456" i="12" s="1"/>
  <c r="AJ456" i="12"/>
  <c r="AC456" i="12"/>
  <c r="AA456" i="12"/>
  <c r="AK456" i="12"/>
  <c r="AI456" i="12"/>
  <c r="AD456" i="12" l="1"/>
  <c r="AG456" i="12" s="1"/>
  <c r="Y457" i="12"/>
  <c r="X457" i="12"/>
  <c r="AI457" i="12"/>
  <c r="P459" i="12"/>
  <c r="Q458" i="12"/>
  <c r="R458" i="12"/>
  <c r="B458" i="12"/>
  <c r="A459" i="12"/>
  <c r="S458" i="12"/>
  <c r="V457" i="12"/>
  <c r="W456" i="12"/>
  <c r="AB457" i="12"/>
  <c r="AF457" i="12" s="1"/>
  <c r="AJ457" i="12"/>
  <c r="AC457" i="12"/>
  <c r="AA457" i="12"/>
  <c r="AK457" i="12"/>
  <c r="T458" i="12"/>
  <c r="X458" i="12" l="1"/>
  <c r="Y458" i="12"/>
  <c r="AI458" i="12"/>
  <c r="AB458" i="12"/>
  <c r="AF458" i="12" s="1"/>
  <c r="AJ458" i="12"/>
  <c r="AC458" i="12"/>
  <c r="AA458" i="12"/>
  <c r="AK458" i="12"/>
  <c r="T459" i="12"/>
  <c r="U458" i="12"/>
  <c r="AD457" i="12"/>
  <c r="AG457" i="12" s="1"/>
  <c r="V458" i="12"/>
  <c r="W457" i="12"/>
  <c r="A460" i="12"/>
  <c r="S459" i="12"/>
  <c r="B459" i="12"/>
  <c r="P460" i="12"/>
  <c r="Q459" i="12"/>
  <c r="R459" i="12"/>
  <c r="Y459" i="12" l="1"/>
  <c r="X459" i="12"/>
  <c r="AD458" i="12"/>
  <c r="AG458" i="12" s="1"/>
  <c r="A461" i="12"/>
  <c r="S460" i="12"/>
  <c r="B460" i="12"/>
  <c r="P461" i="12"/>
  <c r="Q460" i="12"/>
  <c r="R460" i="12"/>
  <c r="AB459" i="12"/>
  <c r="AF459" i="12" s="1"/>
  <c r="AC459" i="12"/>
  <c r="AJ459" i="12"/>
  <c r="AA459" i="12"/>
  <c r="AK459" i="12"/>
  <c r="T460" i="12"/>
  <c r="U460" i="12" s="1"/>
  <c r="U459" i="12"/>
  <c r="V459" i="12"/>
  <c r="W458" i="12"/>
  <c r="AI459" i="12"/>
  <c r="X460" i="12" l="1"/>
  <c r="Y460" i="12"/>
  <c r="AD459" i="12"/>
  <c r="AG459" i="12" s="1"/>
  <c r="Q461" i="12"/>
  <c r="R461" i="12"/>
  <c r="P462" i="12"/>
  <c r="S461" i="12"/>
  <c r="A462" i="12"/>
  <c r="B461" i="12"/>
  <c r="AI460" i="12"/>
  <c r="V460" i="12"/>
  <c r="W459" i="12"/>
  <c r="T461" i="12"/>
  <c r="U461" i="12" s="1"/>
  <c r="AB460" i="12"/>
  <c r="AF460" i="12" s="1"/>
  <c r="AJ460" i="12"/>
  <c r="AC460" i="12"/>
  <c r="AA460" i="12"/>
  <c r="AK460" i="12"/>
  <c r="Y461" i="12" l="1"/>
  <c r="X461" i="12"/>
  <c r="AD460" i="12"/>
  <c r="AG460" i="12" s="1"/>
  <c r="T462" i="12"/>
  <c r="AB461" i="12"/>
  <c r="AF461" i="12" s="1"/>
  <c r="AA461" i="12"/>
  <c r="AC461" i="12"/>
  <c r="AJ461" i="12"/>
  <c r="AK461" i="12"/>
  <c r="P463" i="12"/>
  <c r="Q462" i="12"/>
  <c r="R462" i="12"/>
  <c r="A463" i="12"/>
  <c r="S462" i="12"/>
  <c r="B462" i="12"/>
  <c r="W460" i="12"/>
  <c r="V461" i="12"/>
  <c r="AI461" i="12"/>
  <c r="AD461" i="12" l="1"/>
  <c r="AG461" i="12" s="1"/>
  <c r="X462" i="12"/>
  <c r="Y462" i="12"/>
  <c r="AI462" i="12"/>
  <c r="V462" i="12"/>
  <c r="W461" i="12"/>
  <c r="Q463" i="12"/>
  <c r="AI463" i="12" s="1"/>
  <c r="P464" i="12"/>
  <c r="R463" i="12"/>
  <c r="A464" i="12"/>
  <c r="B463" i="12"/>
  <c r="S463" i="12"/>
  <c r="AB462" i="12"/>
  <c r="AF462" i="12" s="1"/>
  <c r="AJ462" i="12"/>
  <c r="AC462" i="12"/>
  <c r="AD462" i="12" s="1"/>
  <c r="AG462" i="12" s="1"/>
  <c r="AA462" i="12"/>
  <c r="AK462" i="12"/>
  <c r="T463" i="12"/>
  <c r="U462" i="12"/>
  <c r="Y463" i="12" l="1"/>
  <c r="X463" i="12"/>
  <c r="T464" i="12"/>
  <c r="A465" i="12"/>
  <c r="S464" i="12"/>
  <c r="B464" i="12"/>
  <c r="W462" i="12"/>
  <c r="V463" i="12"/>
  <c r="AB463" i="12"/>
  <c r="AF463" i="12" s="1"/>
  <c r="AA463" i="12"/>
  <c r="AC463" i="12"/>
  <c r="AJ463" i="12"/>
  <c r="AK463" i="12"/>
  <c r="P465" i="12"/>
  <c r="Q464" i="12"/>
  <c r="R464" i="12"/>
  <c r="U463" i="12"/>
  <c r="X464" i="12" l="1"/>
  <c r="Y464" i="12"/>
  <c r="AI464" i="12"/>
  <c r="V464" i="12"/>
  <c r="W463" i="12"/>
  <c r="B465" i="12"/>
  <c r="S465" i="12"/>
  <c r="A466" i="12"/>
  <c r="AD463" i="12"/>
  <c r="AG463" i="12" s="1"/>
  <c r="Q465" i="12"/>
  <c r="AI465" i="12" s="1"/>
  <c r="P466" i="12"/>
  <c r="R465" i="12"/>
  <c r="AB464" i="12"/>
  <c r="AF464" i="12" s="1"/>
  <c r="AJ464" i="12"/>
  <c r="AC464" i="12"/>
  <c r="AD464" i="12" s="1"/>
  <c r="AG464" i="12" s="1"/>
  <c r="AA464" i="12"/>
  <c r="AK464" i="12"/>
  <c r="T465" i="12"/>
  <c r="U464" i="12"/>
  <c r="Y465" i="12" l="1"/>
  <c r="X465" i="12"/>
  <c r="T466" i="12"/>
  <c r="U466" i="12" s="1"/>
  <c r="U465" i="12"/>
  <c r="AB465" i="12"/>
  <c r="AF465" i="12" s="1"/>
  <c r="AA465" i="12"/>
  <c r="AJ465" i="12"/>
  <c r="AC465" i="12"/>
  <c r="AK465" i="12"/>
  <c r="P467" i="12"/>
  <c r="Q466" i="12"/>
  <c r="R466" i="12"/>
  <c r="A467" i="12"/>
  <c r="S466" i="12"/>
  <c r="B466" i="12"/>
  <c r="W464" i="12"/>
  <c r="V465" i="12"/>
  <c r="X466" i="12" l="1"/>
  <c r="Y466" i="12"/>
  <c r="AD465" i="12"/>
  <c r="AG465" i="12" s="1"/>
  <c r="V466" i="12"/>
  <c r="W465" i="12"/>
  <c r="AB466" i="12"/>
  <c r="AF466" i="12" s="1"/>
  <c r="AJ466" i="12"/>
  <c r="AC466" i="12"/>
  <c r="AA466" i="12"/>
  <c r="AK466" i="12"/>
  <c r="T467" i="12"/>
  <c r="Q467" i="12"/>
  <c r="R467" i="12"/>
  <c r="P468" i="12"/>
  <c r="AI466" i="12"/>
  <c r="A468" i="12"/>
  <c r="S467" i="12"/>
  <c r="B467" i="12"/>
  <c r="Y467" i="12" l="1"/>
  <c r="X467" i="12"/>
  <c r="AD466" i="12"/>
  <c r="AG466" i="12" s="1"/>
  <c r="A469" i="12"/>
  <c r="S468" i="12"/>
  <c r="B468" i="12"/>
  <c r="AI467" i="12"/>
  <c r="AB467" i="12"/>
  <c r="AF467" i="12" s="1"/>
  <c r="AA467" i="12"/>
  <c r="AC467" i="12"/>
  <c r="AJ467" i="12"/>
  <c r="AK467" i="12"/>
  <c r="P469" i="12"/>
  <c r="Q468" i="12"/>
  <c r="R468" i="12"/>
  <c r="T468" i="12"/>
  <c r="U468" i="12" s="1"/>
  <c r="U467" i="12"/>
  <c r="W466" i="12"/>
  <c r="V467" i="12"/>
  <c r="X468" i="12" l="1"/>
  <c r="Y468" i="12"/>
  <c r="AB468" i="12"/>
  <c r="AF468" i="12" s="1"/>
  <c r="AJ468" i="12"/>
  <c r="AC468" i="12"/>
  <c r="AA468" i="12"/>
  <c r="AK468" i="12"/>
  <c r="AD467" i="12"/>
  <c r="AG467" i="12" s="1"/>
  <c r="AI468" i="12"/>
  <c r="A470" i="12"/>
  <c r="S469" i="12"/>
  <c r="B469" i="12"/>
  <c r="V468" i="12"/>
  <c r="W467" i="12"/>
  <c r="T469" i="12"/>
  <c r="Q469" i="12"/>
  <c r="R469" i="12"/>
  <c r="P470" i="12"/>
  <c r="AD468" i="12" l="1"/>
  <c r="AG468" i="12" s="1"/>
  <c r="Y469" i="12"/>
  <c r="X469" i="12"/>
  <c r="W468" i="12"/>
  <c r="V469" i="12"/>
  <c r="Q470" i="12"/>
  <c r="P471" i="12"/>
  <c r="R470" i="12"/>
  <c r="AB469" i="12"/>
  <c r="AF469" i="12" s="1"/>
  <c r="AA469" i="12"/>
  <c r="AC469" i="12"/>
  <c r="AD469" i="12" s="1"/>
  <c r="AG469" i="12" s="1"/>
  <c r="AJ469" i="12"/>
  <c r="AK469" i="12"/>
  <c r="T470" i="12"/>
  <c r="U470" i="12"/>
  <c r="U469" i="12"/>
  <c r="S470" i="12"/>
  <c r="B470" i="12"/>
  <c r="A471" i="12"/>
  <c r="AI469" i="12"/>
  <c r="X470" i="12" l="1"/>
  <c r="Y470" i="12"/>
  <c r="AI470" i="12"/>
  <c r="S471" i="12"/>
  <c r="B471" i="12"/>
  <c r="A472" i="12"/>
  <c r="V470" i="12"/>
  <c r="W469" i="12"/>
  <c r="AA470" i="12"/>
  <c r="AB470" i="12"/>
  <c r="AF470" i="12" s="1"/>
  <c r="AK470" i="12"/>
  <c r="AJ470" i="12"/>
  <c r="AC470" i="12"/>
  <c r="T471" i="12"/>
  <c r="Q471" i="12"/>
  <c r="P472" i="12"/>
  <c r="R471" i="12"/>
  <c r="Y471" i="12" l="1"/>
  <c r="X471" i="12"/>
  <c r="AD470" i="12"/>
  <c r="AG470" i="12" s="1"/>
  <c r="S472" i="12"/>
  <c r="B472" i="12"/>
  <c r="A473" i="12"/>
  <c r="Q472" i="12"/>
  <c r="P473" i="12"/>
  <c r="R472" i="12"/>
  <c r="T472" i="12"/>
  <c r="U471" i="12"/>
  <c r="W470" i="12"/>
  <c r="V471" i="12"/>
  <c r="AA471" i="12"/>
  <c r="AB471" i="12"/>
  <c r="AF471" i="12" s="1"/>
  <c r="AK471" i="12"/>
  <c r="AJ471" i="12"/>
  <c r="AC471" i="12"/>
  <c r="AI471" i="12"/>
  <c r="X472" i="12" l="1"/>
  <c r="Y472" i="12"/>
  <c r="AD471" i="12"/>
  <c r="AG471" i="12" s="1"/>
  <c r="S473" i="12"/>
  <c r="B473" i="12"/>
  <c r="A474" i="12"/>
  <c r="Q473" i="12"/>
  <c r="P474" i="12"/>
  <c r="R473" i="12"/>
  <c r="AA472" i="12"/>
  <c r="AB472" i="12"/>
  <c r="AF472" i="12" s="1"/>
  <c r="AK472" i="12"/>
  <c r="AJ472" i="12"/>
  <c r="AC472" i="12"/>
  <c r="W471" i="12"/>
  <c r="V472" i="12"/>
  <c r="T473" i="12"/>
  <c r="U472" i="12"/>
  <c r="AI472" i="12"/>
  <c r="AD472" i="12" l="1"/>
  <c r="AG472" i="12" s="1"/>
  <c r="AI473" i="12"/>
  <c r="Y473" i="12"/>
  <c r="X473" i="12"/>
  <c r="T474" i="12"/>
  <c r="S474" i="12"/>
  <c r="B474" i="12"/>
  <c r="A475" i="12"/>
  <c r="W472" i="12"/>
  <c r="V473" i="12"/>
  <c r="Q474" i="12"/>
  <c r="P475" i="12"/>
  <c r="R474" i="12"/>
  <c r="AA473" i="12"/>
  <c r="AB473" i="12"/>
  <c r="AF473" i="12" s="1"/>
  <c r="AK473" i="12"/>
  <c r="AJ473" i="12"/>
  <c r="AC473" i="12"/>
  <c r="AD473" i="12" s="1"/>
  <c r="AG473" i="12" s="1"/>
  <c r="U473" i="12"/>
  <c r="X474" i="12" l="1"/>
  <c r="Y474" i="12"/>
  <c r="AI474" i="12"/>
  <c r="Q475" i="12"/>
  <c r="P476" i="12"/>
  <c r="R475" i="12"/>
  <c r="S475" i="12"/>
  <c r="B475" i="12"/>
  <c r="A476" i="12"/>
  <c r="W473" i="12"/>
  <c r="V474" i="12"/>
  <c r="AA474" i="12"/>
  <c r="AB474" i="12"/>
  <c r="AF474" i="12" s="1"/>
  <c r="AK474" i="12"/>
  <c r="AJ474" i="12"/>
  <c r="AC474" i="12"/>
  <c r="T475" i="12"/>
  <c r="U474" i="12"/>
  <c r="AD474" i="12" l="1"/>
  <c r="AG474" i="12" s="1"/>
  <c r="Y475" i="12"/>
  <c r="X475" i="12"/>
  <c r="AI475" i="12"/>
  <c r="S476" i="12"/>
  <c r="B476" i="12"/>
  <c r="A477" i="12"/>
  <c r="W474" i="12"/>
  <c r="V475" i="12"/>
  <c r="AA475" i="12"/>
  <c r="AB475" i="12"/>
  <c r="AF475" i="12" s="1"/>
  <c r="AK475" i="12"/>
  <c r="AJ475" i="12"/>
  <c r="AC475" i="12"/>
  <c r="Q476" i="12"/>
  <c r="P477" i="12"/>
  <c r="R476" i="12"/>
  <c r="T476" i="12"/>
  <c r="U475" i="12"/>
  <c r="AD475" i="12" l="1"/>
  <c r="AG475" i="12" s="1"/>
  <c r="X476" i="12"/>
  <c r="Y476" i="12"/>
  <c r="AI476" i="12"/>
  <c r="S477" i="12"/>
  <c r="B477" i="12"/>
  <c r="A478" i="12"/>
  <c r="W475" i="12"/>
  <c r="V476" i="12"/>
  <c r="AA476" i="12"/>
  <c r="AB476" i="12"/>
  <c r="AF476" i="12" s="1"/>
  <c r="AK476" i="12"/>
  <c r="AJ476" i="12"/>
  <c r="AC476" i="12"/>
  <c r="Q477" i="12"/>
  <c r="P478" i="12"/>
  <c r="R477" i="12"/>
  <c r="T477" i="12"/>
  <c r="U476" i="12"/>
  <c r="AD476" i="12" l="1"/>
  <c r="AG476" i="12" s="1"/>
  <c r="AI477" i="12"/>
  <c r="Y477" i="12"/>
  <c r="X477" i="12"/>
  <c r="U477" i="12"/>
  <c r="W476" i="12"/>
  <c r="V477" i="12"/>
  <c r="S478" i="12"/>
  <c r="B478" i="12"/>
  <c r="A479" i="12"/>
  <c r="R478" i="12"/>
  <c r="Q478" i="12"/>
  <c r="P479" i="12"/>
  <c r="AA477" i="12"/>
  <c r="AB477" i="12"/>
  <c r="AF477" i="12" s="1"/>
  <c r="AK477" i="12"/>
  <c r="AJ477" i="12"/>
  <c r="AC477" i="12"/>
  <c r="T478" i="12"/>
  <c r="AI478" i="12"/>
  <c r="AD477" i="12" l="1"/>
  <c r="AG477" i="12" s="1"/>
  <c r="X478" i="12"/>
  <c r="Y478" i="12"/>
  <c r="T479" i="12"/>
  <c r="U478" i="12"/>
  <c r="AA478" i="12"/>
  <c r="AB478" i="12"/>
  <c r="AF478" i="12" s="1"/>
  <c r="AK478" i="12"/>
  <c r="AJ478" i="12"/>
  <c r="AC478" i="12"/>
  <c r="W477" i="12"/>
  <c r="V478" i="12"/>
  <c r="R479" i="12"/>
  <c r="Q479" i="12"/>
  <c r="P480" i="12"/>
  <c r="S479" i="12"/>
  <c r="B479" i="12"/>
  <c r="A480" i="12"/>
  <c r="Y479" i="12" l="1"/>
  <c r="X479" i="12"/>
  <c r="AI479" i="12"/>
  <c r="AD478" i="12"/>
  <c r="AG478" i="12" s="1"/>
  <c r="R480" i="12"/>
  <c r="AI480" i="12" s="1"/>
  <c r="Q480" i="12"/>
  <c r="P481" i="12"/>
  <c r="W478" i="12"/>
  <c r="V479" i="12"/>
  <c r="S480" i="12"/>
  <c r="B480" i="12"/>
  <c r="A481" i="12"/>
  <c r="AA479" i="12"/>
  <c r="AB479" i="12"/>
  <c r="AF479" i="12" s="1"/>
  <c r="AK479" i="12"/>
  <c r="AJ479" i="12"/>
  <c r="AC479" i="12"/>
  <c r="T480" i="12"/>
  <c r="U479" i="12"/>
  <c r="X480" i="12" l="1"/>
  <c r="Y480" i="12"/>
  <c r="AD479" i="12"/>
  <c r="AG479" i="12" s="1"/>
  <c r="AA480" i="12"/>
  <c r="AB480" i="12"/>
  <c r="AF480" i="12" s="1"/>
  <c r="AK480" i="12"/>
  <c r="AJ480" i="12"/>
  <c r="AC480" i="12"/>
  <c r="R481" i="12"/>
  <c r="Q481" i="12"/>
  <c r="P482" i="12"/>
  <c r="T481" i="12"/>
  <c r="U480" i="12"/>
  <c r="S481" i="12"/>
  <c r="B481" i="12"/>
  <c r="A482" i="12"/>
  <c r="W479" i="12"/>
  <c r="V480" i="12"/>
  <c r="AI481" i="12" l="1"/>
  <c r="Y481" i="12"/>
  <c r="X481" i="12"/>
  <c r="S482" i="12"/>
  <c r="B482" i="12"/>
  <c r="A483" i="12"/>
  <c r="R482" i="12"/>
  <c r="Q482" i="12"/>
  <c r="P483" i="12"/>
  <c r="W480" i="12"/>
  <c r="V481" i="12"/>
  <c r="AA481" i="12"/>
  <c r="AB481" i="12"/>
  <c r="AF481" i="12" s="1"/>
  <c r="AK481" i="12"/>
  <c r="AJ481" i="12"/>
  <c r="AC481" i="12"/>
  <c r="T482" i="12"/>
  <c r="U481" i="12"/>
  <c r="AI482" i="12"/>
  <c r="AD480" i="12"/>
  <c r="AG480" i="12" s="1"/>
  <c r="AD481" i="12" l="1"/>
  <c r="AG481" i="12" s="1"/>
  <c r="X482" i="12"/>
  <c r="Y482" i="12"/>
  <c r="T483" i="12"/>
  <c r="U483" i="12" s="1"/>
  <c r="R483" i="12"/>
  <c r="Q483" i="12"/>
  <c r="AI483" i="12" s="1"/>
  <c r="P484" i="12"/>
  <c r="S483" i="12"/>
  <c r="B483" i="12"/>
  <c r="A484" i="12"/>
  <c r="AA482" i="12"/>
  <c r="AB482" i="12"/>
  <c r="AF482" i="12" s="1"/>
  <c r="AK482" i="12"/>
  <c r="AJ482" i="12"/>
  <c r="AC482" i="12"/>
  <c r="AD482" i="12" s="1"/>
  <c r="AG482" i="12" s="1"/>
  <c r="W481" i="12"/>
  <c r="V482" i="12"/>
  <c r="U482" i="12"/>
  <c r="Y483" i="12" l="1"/>
  <c r="X483" i="12"/>
  <c r="W482" i="12"/>
  <c r="V483" i="12"/>
  <c r="R484" i="12"/>
  <c r="Q484" i="12"/>
  <c r="P485" i="12"/>
  <c r="S484" i="12"/>
  <c r="B484" i="12"/>
  <c r="A485" i="12"/>
  <c r="AA483" i="12"/>
  <c r="AB483" i="12"/>
  <c r="AF483" i="12" s="1"/>
  <c r="AK483" i="12"/>
  <c r="AJ483" i="12"/>
  <c r="AC483" i="12"/>
  <c r="T484" i="12"/>
  <c r="U484" i="12"/>
  <c r="AD483" i="12" l="1"/>
  <c r="AG483" i="12" s="1"/>
  <c r="AI484" i="12"/>
  <c r="X484" i="12"/>
  <c r="Y484" i="12"/>
  <c r="S485" i="12"/>
  <c r="B485" i="12"/>
  <c r="A486" i="12"/>
  <c r="AA484" i="12"/>
  <c r="AB484" i="12"/>
  <c r="AF484" i="12" s="1"/>
  <c r="AK484" i="12"/>
  <c r="AJ484" i="12"/>
  <c r="AC484" i="12"/>
  <c r="W483" i="12"/>
  <c r="V484" i="12"/>
  <c r="T485" i="12"/>
  <c r="R485" i="12"/>
  <c r="Q485" i="12"/>
  <c r="P486" i="12"/>
  <c r="AD484" i="12" l="1"/>
  <c r="AG484" i="12" s="1"/>
  <c r="Y485" i="12"/>
  <c r="X485" i="12"/>
  <c r="S486" i="12"/>
  <c r="B486" i="12"/>
  <c r="A487" i="12"/>
  <c r="AA485" i="12"/>
  <c r="AB485" i="12"/>
  <c r="AF485" i="12" s="1"/>
  <c r="AK485" i="12"/>
  <c r="AJ485" i="12"/>
  <c r="AC485" i="12"/>
  <c r="T486" i="12"/>
  <c r="U486" i="12" s="1"/>
  <c r="U485" i="12"/>
  <c r="AI485" i="12"/>
  <c r="R486" i="12"/>
  <c r="Q486" i="12"/>
  <c r="P487" i="12"/>
  <c r="W484" i="12"/>
  <c r="V485" i="12"/>
  <c r="X486" i="12" l="1"/>
  <c r="Y486" i="12"/>
  <c r="AD485" i="12"/>
  <c r="AG485" i="12" s="1"/>
  <c r="AI486" i="12"/>
  <c r="R487" i="12"/>
  <c r="Q487" i="12"/>
  <c r="P488" i="12"/>
  <c r="AA486" i="12"/>
  <c r="AB486" i="12"/>
  <c r="AF486" i="12" s="1"/>
  <c r="AK486" i="12"/>
  <c r="AJ486" i="12"/>
  <c r="AC486" i="12"/>
  <c r="AD486" i="12" s="1"/>
  <c r="AG486" i="12" s="1"/>
  <c r="W485" i="12"/>
  <c r="V486" i="12"/>
  <c r="T487" i="12"/>
  <c r="S487" i="12"/>
  <c r="B487" i="12"/>
  <c r="A488" i="12"/>
  <c r="Y487" i="12" l="1"/>
  <c r="X487" i="12"/>
  <c r="AI487" i="12"/>
  <c r="T488" i="12"/>
  <c r="U487" i="12"/>
  <c r="S488" i="12"/>
  <c r="B488" i="12"/>
  <c r="A489" i="12"/>
  <c r="AA487" i="12"/>
  <c r="AB487" i="12"/>
  <c r="AF487" i="12" s="1"/>
  <c r="AK487" i="12"/>
  <c r="AJ487" i="12"/>
  <c r="AC487" i="12"/>
  <c r="AD487" i="12" s="1"/>
  <c r="AG487" i="12" s="1"/>
  <c r="R488" i="12"/>
  <c r="Q488" i="12"/>
  <c r="P489" i="12"/>
  <c r="W486" i="12"/>
  <c r="V487" i="12"/>
  <c r="AI488" i="12" l="1"/>
  <c r="X488" i="12"/>
  <c r="Y488" i="12"/>
  <c r="AA488" i="12"/>
  <c r="AB488" i="12"/>
  <c r="AF488" i="12" s="1"/>
  <c r="AK488" i="12"/>
  <c r="AJ488" i="12"/>
  <c r="AC488" i="12"/>
  <c r="R489" i="12"/>
  <c r="Q489" i="12"/>
  <c r="P490" i="12"/>
  <c r="T489" i="12"/>
  <c r="U488" i="12"/>
  <c r="W487" i="12"/>
  <c r="V488" i="12"/>
  <c r="S489" i="12"/>
  <c r="B489" i="12"/>
  <c r="A490" i="12"/>
  <c r="AD488" i="12" l="1"/>
  <c r="AG488" i="12" s="1"/>
  <c r="Y489" i="12"/>
  <c r="X489" i="12"/>
  <c r="AI489" i="12"/>
  <c r="AA489" i="12"/>
  <c r="AB489" i="12"/>
  <c r="AF489" i="12" s="1"/>
  <c r="AK489" i="12"/>
  <c r="AJ489" i="12"/>
  <c r="AC489" i="12"/>
  <c r="R490" i="12"/>
  <c r="Q490" i="12"/>
  <c r="P491" i="12"/>
  <c r="S490" i="12"/>
  <c r="B490" i="12"/>
  <c r="A491" i="12"/>
  <c r="W488" i="12"/>
  <c r="V489" i="12"/>
  <c r="T490" i="12"/>
  <c r="U489" i="12"/>
  <c r="X490" i="12" l="1"/>
  <c r="Y490" i="12"/>
  <c r="AI490" i="12"/>
  <c r="AD489" i="12"/>
  <c r="AG489" i="12" s="1"/>
  <c r="U490" i="12"/>
  <c r="R491" i="12"/>
  <c r="Q491" i="12"/>
  <c r="AI491" i="12" s="1"/>
  <c r="P492" i="12"/>
  <c r="W489" i="12"/>
  <c r="V490" i="12"/>
  <c r="S491" i="12"/>
  <c r="B491" i="12"/>
  <c r="A492" i="12"/>
  <c r="T491" i="12"/>
  <c r="U491" i="12" s="1"/>
  <c r="AA490" i="12"/>
  <c r="AB490" i="12"/>
  <c r="AF490" i="12" s="1"/>
  <c r="AK490" i="12"/>
  <c r="AJ490" i="12"/>
  <c r="AC490" i="12"/>
  <c r="AD490" i="12" l="1"/>
  <c r="AG490" i="12" s="1"/>
  <c r="Y491" i="12"/>
  <c r="X491" i="12"/>
  <c r="W490" i="12"/>
  <c r="V491" i="12"/>
  <c r="T492" i="12"/>
  <c r="U492" i="12" s="1"/>
  <c r="S492" i="12"/>
  <c r="B492" i="12"/>
  <c r="A493" i="12"/>
  <c r="AA491" i="12"/>
  <c r="AB491" i="12"/>
  <c r="AF491" i="12" s="1"/>
  <c r="AK491" i="12"/>
  <c r="AJ491" i="12"/>
  <c r="AC491" i="12"/>
  <c r="R492" i="12"/>
  <c r="Q492" i="12"/>
  <c r="P493" i="12"/>
  <c r="AD491" i="12" l="1"/>
  <c r="AG491" i="12" s="1"/>
  <c r="X492" i="12"/>
  <c r="Y492" i="12"/>
  <c r="W491" i="12"/>
  <c r="V492" i="12"/>
  <c r="R493" i="12"/>
  <c r="Q493" i="12"/>
  <c r="P494" i="12"/>
  <c r="S493" i="12"/>
  <c r="B493" i="12"/>
  <c r="A494" i="12"/>
  <c r="T493" i="12"/>
  <c r="AI492" i="12"/>
  <c r="AA492" i="12"/>
  <c r="AB492" i="12"/>
  <c r="AF492" i="12" s="1"/>
  <c r="AK492" i="12"/>
  <c r="AJ492" i="12"/>
  <c r="AC492" i="12"/>
  <c r="AD492" i="12" l="1"/>
  <c r="AG492" i="12" s="1"/>
  <c r="Y493" i="12"/>
  <c r="X493" i="12"/>
  <c r="T494" i="12"/>
  <c r="U493" i="12"/>
  <c r="AA493" i="12"/>
  <c r="AB493" i="12"/>
  <c r="AF493" i="12" s="1"/>
  <c r="AK493" i="12"/>
  <c r="AJ493" i="12"/>
  <c r="AC493" i="12"/>
  <c r="AI493" i="12"/>
  <c r="W492" i="12"/>
  <c r="V493" i="12"/>
  <c r="U494" i="12"/>
  <c r="S494" i="12"/>
  <c r="B494" i="12"/>
  <c r="A495" i="12"/>
  <c r="R494" i="12"/>
  <c r="Q494" i="12"/>
  <c r="P495" i="12"/>
  <c r="AD493" i="12" l="1"/>
  <c r="AG493" i="12" s="1"/>
  <c r="X494" i="12"/>
  <c r="Y494" i="12"/>
  <c r="AI494" i="12"/>
  <c r="R495" i="12"/>
  <c r="Q495" i="12"/>
  <c r="AI495" i="12" s="1"/>
  <c r="P496" i="12"/>
  <c r="S495" i="12"/>
  <c r="B495" i="12"/>
  <c r="A496" i="12"/>
  <c r="W493" i="12"/>
  <c r="V494" i="12"/>
  <c r="AA494" i="12"/>
  <c r="AB494" i="12"/>
  <c r="AF494" i="12" s="1"/>
  <c r="AK494" i="12"/>
  <c r="AJ494" i="12"/>
  <c r="AC494" i="12"/>
  <c r="T495" i="12"/>
  <c r="AD494" i="12" l="1"/>
  <c r="AG494" i="12" s="1"/>
  <c r="Y495" i="12"/>
  <c r="X495" i="12"/>
  <c r="R496" i="12"/>
  <c r="AI496" i="12" s="1"/>
  <c r="Q496" i="12"/>
  <c r="P497" i="12"/>
  <c r="S496" i="12"/>
  <c r="B496" i="12"/>
  <c r="A497" i="12"/>
  <c r="T496" i="12"/>
  <c r="U496" i="12" s="1"/>
  <c r="U495" i="12"/>
  <c r="W494" i="12"/>
  <c r="V495" i="12"/>
  <c r="AA495" i="12"/>
  <c r="AB495" i="12"/>
  <c r="AF495" i="12" s="1"/>
  <c r="AK495" i="12"/>
  <c r="AJ495" i="12"/>
  <c r="AC495" i="12"/>
  <c r="AD495" i="12" l="1"/>
  <c r="AG495" i="12" s="1"/>
  <c r="X496" i="12"/>
  <c r="Y496" i="12"/>
  <c r="W495" i="12"/>
  <c r="V496" i="12"/>
  <c r="R497" i="12"/>
  <c r="Q497" i="12"/>
  <c r="AI497" i="12" s="1"/>
  <c r="P498" i="12"/>
  <c r="T497" i="12"/>
  <c r="S497" i="12"/>
  <c r="B497" i="12"/>
  <c r="A498" i="12"/>
  <c r="AA496" i="12"/>
  <c r="AB496" i="12"/>
  <c r="AF496" i="12" s="1"/>
  <c r="AK496" i="12"/>
  <c r="AJ496" i="12"/>
  <c r="AC496" i="12"/>
  <c r="AD496" i="12" l="1"/>
  <c r="AG496" i="12" s="1"/>
  <c r="Y497" i="12"/>
  <c r="X497" i="12"/>
  <c r="AA497" i="12"/>
  <c r="AB497" i="12"/>
  <c r="AF497" i="12" s="1"/>
  <c r="AK497" i="12"/>
  <c r="AJ497" i="12"/>
  <c r="AC497" i="12"/>
  <c r="T498" i="12"/>
  <c r="U497" i="12"/>
  <c r="W496" i="12"/>
  <c r="V497" i="12"/>
  <c r="S498" i="12"/>
  <c r="B498" i="12"/>
  <c r="A499" i="12"/>
  <c r="R498" i="12"/>
  <c r="Q498" i="12"/>
  <c r="P499" i="12"/>
  <c r="AD497" i="12" l="1"/>
  <c r="AG497" i="12" s="1"/>
  <c r="X498" i="12"/>
  <c r="Y498" i="12"/>
  <c r="S499" i="12"/>
  <c r="B499" i="12"/>
  <c r="A500" i="12"/>
  <c r="T499" i="12"/>
  <c r="U499" i="12" s="1"/>
  <c r="U498" i="12"/>
  <c r="R499" i="12"/>
  <c r="Q499" i="12"/>
  <c r="P500" i="12"/>
  <c r="W497" i="12"/>
  <c r="V498" i="12"/>
  <c r="AA498" i="12"/>
  <c r="AB498" i="12"/>
  <c r="AF498" i="12" s="1"/>
  <c r="AK498" i="12"/>
  <c r="AJ498" i="12"/>
  <c r="AC498" i="12"/>
  <c r="AI498" i="12"/>
  <c r="AD498" i="12" l="1"/>
  <c r="AG498" i="12" s="1"/>
  <c r="Y499" i="12"/>
  <c r="X499" i="12"/>
  <c r="R500" i="12"/>
  <c r="AI500" i="12" s="1"/>
  <c r="Q500" i="12"/>
  <c r="P501" i="12"/>
  <c r="S500" i="12"/>
  <c r="B500" i="12"/>
  <c r="A501" i="12"/>
  <c r="T500" i="12"/>
  <c r="U500" i="12" s="1"/>
  <c r="AA499" i="12"/>
  <c r="AB499" i="12"/>
  <c r="AF499" i="12" s="1"/>
  <c r="AK499" i="12"/>
  <c r="AJ499" i="12"/>
  <c r="AC499" i="12"/>
  <c r="AD499" i="12" s="1"/>
  <c r="AG499" i="12" s="1"/>
  <c r="W498" i="12"/>
  <c r="V499" i="12"/>
  <c r="AI499" i="12"/>
  <c r="X500" i="12" l="1"/>
  <c r="Y500" i="12"/>
  <c r="W499" i="12"/>
  <c r="V500" i="12"/>
  <c r="R501" i="12"/>
  <c r="Q501" i="12"/>
  <c r="P502" i="12"/>
  <c r="T501" i="12"/>
  <c r="S501" i="12"/>
  <c r="B501" i="12"/>
  <c r="A502" i="12"/>
  <c r="AA500" i="12"/>
  <c r="AB500" i="12"/>
  <c r="AF500" i="12" s="1"/>
  <c r="AK500" i="12"/>
  <c r="AJ500" i="12"/>
  <c r="AC500" i="12"/>
  <c r="AD500" i="12" l="1"/>
  <c r="AG500" i="12" s="1"/>
  <c r="Y501" i="12"/>
  <c r="X501" i="12"/>
  <c r="AI501" i="12"/>
  <c r="S502" i="12"/>
  <c r="B502" i="12"/>
  <c r="A503" i="12"/>
  <c r="AA501" i="12"/>
  <c r="AB501" i="12"/>
  <c r="AF501" i="12" s="1"/>
  <c r="AK501" i="12"/>
  <c r="AJ501" i="12"/>
  <c r="AC501" i="12"/>
  <c r="T502" i="12"/>
  <c r="U502" i="12" s="1"/>
  <c r="U501" i="12"/>
  <c r="W500" i="12"/>
  <c r="V501" i="12"/>
  <c r="R502" i="12"/>
  <c r="Q502" i="12"/>
  <c r="P503" i="12"/>
  <c r="AD501" i="12" l="1"/>
  <c r="AG501" i="12" s="1"/>
  <c r="X502" i="12"/>
  <c r="Y502" i="12"/>
  <c r="R503" i="12"/>
  <c r="Q503" i="12"/>
  <c r="P504" i="12"/>
  <c r="W501" i="12"/>
  <c r="V502" i="12"/>
  <c r="T503" i="12"/>
  <c r="S503" i="12"/>
  <c r="B503" i="12"/>
  <c r="A504" i="12"/>
  <c r="AA502" i="12"/>
  <c r="AB502" i="12"/>
  <c r="AF502" i="12" s="1"/>
  <c r="AK502" i="12"/>
  <c r="AJ502" i="12"/>
  <c r="AC502" i="12"/>
  <c r="AD502" i="12" s="1"/>
  <c r="AG502" i="12" s="1"/>
  <c r="AI502" i="12"/>
  <c r="AI503" i="12" l="1"/>
  <c r="Y503" i="12"/>
  <c r="X503" i="12"/>
  <c r="S504" i="12"/>
  <c r="B504" i="12"/>
  <c r="A505" i="12"/>
  <c r="T504" i="12"/>
  <c r="U503" i="12"/>
  <c r="R504" i="12"/>
  <c r="Q504" i="12"/>
  <c r="AI504" i="12" s="1"/>
  <c r="P505" i="12"/>
  <c r="AA503" i="12"/>
  <c r="AB503" i="12"/>
  <c r="AF503" i="12" s="1"/>
  <c r="AK503" i="12"/>
  <c r="AJ503" i="12"/>
  <c r="AC503" i="12"/>
  <c r="W502" i="12"/>
  <c r="V503" i="12"/>
  <c r="AD503" i="12" l="1"/>
  <c r="AG503" i="12" s="1"/>
  <c r="X504" i="12"/>
  <c r="Y504" i="12"/>
  <c r="S505" i="12"/>
  <c r="B505" i="12"/>
  <c r="A506" i="12"/>
  <c r="W503" i="12"/>
  <c r="V504" i="12"/>
  <c r="R505" i="12"/>
  <c r="Q505" i="12"/>
  <c r="AI505" i="12" s="1"/>
  <c r="P506" i="12"/>
  <c r="T505" i="12"/>
  <c r="U504" i="12"/>
  <c r="AA504" i="12"/>
  <c r="AB504" i="12"/>
  <c r="AF504" i="12" s="1"/>
  <c r="AK504" i="12"/>
  <c r="AJ504" i="12"/>
  <c r="AC504" i="12"/>
  <c r="AD504" i="12" l="1"/>
  <c r="AG504" i="12" s="1"/>
  <c r="Y505" i="12"/>
  <c r="X505" i="12"/>
  <c r="T506" i="12"/>
  <c r="U505" i="12"/>
  <c r="S506" i="12"/>
  <c r="B506" i="12"/>
  <c r="A507" i="12"/>
  <c r="W504" i="12"/>
  <c r="V505" i="12"/>
  <c r="AA505" i="12"/>
  <c r="AB505" i="12"/>
  <c r="AF505" i="12" s="1"/>
  <c r="AK505" i="12"/>
  <c r="AJ505" i="12"/>
  <c r="AC505" i="12"/>
  <c r="AD505" i="12" s="1"/>
  <c r="AG505" i="12" s="1"/>
  <c r="R506" i="12"/>
  <c r="Q506" i="12"/>
  <c r="P507" i="12"/>
  <c r="X506" i="12" l="1"/>
  <c r="Y506" i="12"/>
  <c r="S507" i="12"/>
  <c r="B507" i="12"/>
  <c r="A508" i="12"/>
  <c r="R507" i="12"/>
  <c r="Q507" i="12"/>
  <c r="AI507" i="12" s="1"/>
  <c r="P508" i="12"/>
  <c r="W505" i="12"/>
  <c r="V506" i="12"/>
  <c r="AA506" i="12"/>
  <c r="AB506" i="12"/>
  <c r="AF506" i="12" s="1"/>
  <c r="AK506" i="12"/>
  <c r="AJ506" i="12"/>
  <c r="AC506" i="12"/>
  <c r="AD506" i="12" s="1"/>
  <c r="AG506" i="12" s="1"/>
  <c r="T507" i="12"/>
  <c r="U506" i="12"/>
  <c r="AI506" i="12"/>
  <c r="Y507" i="12" l="1"/>
  <c r="X507" i="12"/>
  <c r="U507" i="12"/>
  <c r="R508" i="12"/>
  <c r="Q508" i="12"/>
  <c r="P509" i="12"/>
  <c r="S508" i="12"/>
  <c r="B508" i="12"/>
  <c r="A509" i="12"/>
  <c r="W506" i="12"/>
  <c r="V507" i="12"/>
  <c r="AA507" i="12"/>
  <c r="AB507" i="12"/>
  <c r="AF507" i="12" s="1"/>
  <c r="AK507" i="12"/>
  <c r="AJ507" i="12"/>
  <c r="AC507" i="12"/>
  <c r="T508" i="12"/>
  <c r="AD507" i="12" l="1"/>
  <c r="AG507" i="12" s="1"/>
  <c r="X508" i="12"/>
  <c r="Y508" i="12"/>
  <c r="AI508" i="12"/>
  <c r="T509" i="12"/>
  <c r="U508" i="12"/>
  <c r="S509" i="12"/>
  <c r="B509" i="12"/>
  <c r="A510" i="12"/>
  <c r="R509" i="12"/>
  <c r="Q509" i="12"/>
  <c r="P510" i="12"/>
  <c r="W507" i="12"/>
  <c r="V508" i="12"/>
  <c r="AA508" i="12"/>
  <c r="AB508" i="12"/>
  <c r="AF508" i="12" s="1"/>
  <c r="AK508" i="12"/>
  <c r="AJ508" i="12"/>
  <c r="AC508" i="12"/>
  <c r="AD508" i="12" s="1"/>
  <c r="AG508" i="12" s="1"/>
  <c r="Y509" i="12" l="1"/>
  <c r="X509" i="12"/>
  <c r="AI509" i="12"/>
  <c r="R510" i="12"/>
  <c r="Q510" i="12"/>
  <c r="AI510" i="12" s="1"/>
  <c r="P511" i="12"/>
  <c r="S510" i="12"/>
  <c r="B510" i="12"/>
  <c r="A511" i="12"/>
  <c r="AA509" i="12"/>
  <c r="AB509" i="12"/>
  <c r="AF509" i="12" s="1"/>
  <c r="AK509" i="12"/>
  <c r="AJ509" i="12"/>
  <c r="AC509" i="12"/>
  <c r="W508" i="12"/>
  <c r="V509" i="12"/>
  <c r="T510" i="12"/>
  <c r="U509" i="12"/>
  <c r="X510" i="12" l="1"/>
  <c r="Y510" i="12"/>
  <c r="AD509" i="12"/>
  <c r="AG509" i="12" s="1"/>
  <c r="W509" i="12"/>
  <c r="V510" i="12"/>
  <c r="R511" i="12"/>
  <c r="Q511" i="12"/>
  <c r="P512" i="12"/>
  <c r="T511" i="12"/>
  <c r="U511" i="12" s="1"/>
  <c r="U510" i="12"/>
  <c r="S511" i="12"/>
  <c r="B511" i="12"/>
  <c r="A512" i="12"/>
  <c r="AI511" i="12"/>
  <c r="AA510" i="12"/>
  <c r="AB510" i="12"/>
  <c r="AF510" i="12" s="1"/>
  <c r="AK510" i="12"/>
  <c r="AJ510" i="12"/>
  <c r="AC510" i="12"/>
  <c r="AD510" i="12" l="1"/>
  <c r="AG510" i="12" s="1"/>
  <c r="Y511" i="12"/>
  <c r="X511" i="12"/>
  <c r="S512" i="12"/>
  <c r="B512" i="12"/>
  <c r="A513" i="12"/>
  <c r="T512" i="12"/>
  <c r="AA511" i="12"/>
  <c r="AB511" i="12"/>
  <c r="AF511" i="12" s="1"/>
  <c r="AK511" i="12"/>
  <c r="AJ511" i="12"/>
  <c r="AC511" i="12"/>
  <c r="AD511" i="12" s="1"/>
  <c r="AG511" i="12" s="1"/>
  <c r="W510" i="12"/>
  <c r="V511" i="12"/>
  <c r="R512" i="12"/>
  <c r="Q512" i="12"/>
  <c r="P513" i="12"/>
  <c r="X512" i="12" l="1"/>
  <c r="Y512" i="12"/>
  <c r="W511" i="12"/>
  <c r="V512" i="12"/>
  <c r="R513" i="12"/>
  <c r="Q513" i="12"/>
  <c r="P514" i="12"/>
  <c r="S513" i="12"/>
  <c r="B513" i="12"/>
  <c r="A514" i="12"/>
  <c r="T513" i="12"/>
  <c r="U512" i="12"/>
  <c r="U513" i="12"/>
  <c r="AA512" i="12"/>
  <c r="AB512" i="12"/>
  <c r="AF512" i="12" s="1"/>
  <c r="AK512" i="12"/>
  <c r="AJ512" i="12"/>
  <c r="AC512" i="12"/>
  <c r="AI512" i="12"/>
  <c r="AD512" i="12" l="1"/>
  <c r="AG512" i="12" s="1"/>
  <c r="Y513" i="12"/>
  <c r="X513" i="12"/>
  <c r="T514" i="12"/>
  <c r="AA513" i="12"/>
  <c r="AB513" i="12"/>
  <c r="AF513" i="12" s="1"/>
  <c r="AK513" i="12"/>
  <c r="AJ513" i="12"/>
  <c r="AC513" i="12"/>
  <c r="W512" i="12"/>
  <c r="V513" i="12"/>
  <c r="R514" i="12"/>
  <c r="Q514" i="12"/>
  <c r="P515" i="12"/>
  <c r="S514" i="12"/>
  <c r="B514" i="12"/>
  <c r="A515" i="12"/>
  <c r="AI513" i="12"/>
  <c r="AD513" i="12" l="1"/>
  <c r="AG513" i="12" s="1"/>
  <c r="X514" i="12"/>
  <c r="Y514" i="12"/>
  <c r="S515" i="12"/>
  <c r="B515" i="12"/>
  <c r="A516" i="12"/>
  <c r="AA514" i="12"/>
  <c r="AB514" i="12"/>
  <c r="AF514" i="12" s="1"/>
  <c r="AK514" i="12"/>
  <c r="AJ514" i="12"/>
  <c r="AC514" i="12"/>
  <c r="W513" i="12"/>
  <c r="V514" i="12"/>
  <c r="T515" i="12"/>
  <c r="U515" i="12" s="1"/>
  <c r="U514" i="12"/>
  <c r="AI514" i="12"/>
  <c r="R515" i="12"/>
  <c r="Q515" i="12"/>
  <c r="P516" i="12"/>
  <c r="AD514" i="12" l="1"/>
  <c r="AG514" i="12" s="1"/>
  <c r="Y515" i="12"/>
  <c r="X515" i="12"/>
  <c r="T516" i="12"/>
  <c r="U516" i="12" s="1"/>
  <c r="W514" i="12"/>
  <c r="V515" i="12"/>
  <c r="S516" i="12"/>
  <c r="B516" i="12"/>
  <c r="A517" i="12"/>
  <c r="R516" i="12"/>
  <c r="Q516" i="12"/>
  <c r="P517" i="12"/>
  <c r="AI515" i="12"/>
  <c r="AA515" i="12"/>
  <c r="AB515" i="12"/>
  <c r="AF515" i="12" s="1"/>
  <c r="AJ515" i="12"/>
  <c r="AC515" i="12"/>
  <c r="AK515" i="12"/>
  <c r="X516" i="12" l="1"/>
  <c r="Y516" i="12"/>
  <c r="AD515" i="12"/>
  <c r="AG515" i="12" s="1"/>
  <c r="S517" i="12"/>
  <c r="B517" i="12"/>
  <c r="A518" i="12"/>
  <c r="AA516" i="12"/>
  <c r="AB516" i="12"/>
  <c r="AF516" i="12" s="1"/>
  <c r="AK516" i="12"/>
  <c r="AJ516" i="12"/>
  <c r="AC516" i="12"/>
  <c r="AD516" i="12" s="1"/>
  <c r="AG516" i="12" s="1"/>
  <c r="T517" i="12"/>
  <c r="R517" i="12"/>
  <c r="Q517" i="12"/>
  <c r="P518" i="12"/>
  <c r="W515" i="12"/>
  <c r="V516" i="12"/>
  <c r="AI516" i="12"/>
  <c r="Y517" i="12" l="1"/>
  <c r="X517" i="12"/>
  <c r="S518" i="12"/>
  <c r="B518" i="12"/>
  <c r="A519" i="12"/>
  <c r="AA517" i="12"/>
  <c r="AB517" i="12"/>
  <c r="AF517" i="12" s="1"/>
  <c r="AJ517" i="12"/>
  <c r="AC517" i="12"/>
  <c r="AK517" i="12"/>
  <c r="T518" i="12"/>
  <c r="U517" i="12"/>
  <c r="W516" i="12"/>
  <c r="V517" i="12"/>
  <c r="R518" i="12"/>
  <c r="Q518" i="12"/>
  <c r="P519" i="12"/>
  <c r="AI517" i="12"/>
  <c r="X518" i="12" l="1"/>
  <c r="Y518" i="12"/>
  <c r="AA518" i="12"/>
  <c r="AB518" i="12"/>
  <c r="AF518" i="12" s="1"/>
  <c r="AK518" i="12"/>
  <c r="AJ518" i="12"/>
  <c r="AC518" i="12"/>
  <c r="AD518" i="12" s="1"/>
  <c r="AG518" i="12" s="1"/>
  <c r="AD517" i="12"/>
  <c r="AG517" i="12" s="1"/>
  <c r="AI518" i="12"/>
  <c r="S519" i="12"/>
  <c r="B519" i="12"/>
  <c r="A520" i="12"/>
  <c r="P520" i="12"/>
  <c r="R519" i="12"/>
  <c r="Q519" i="12"/>
  <c r="AI519" i="12" s="1"/>
  <c r="W517" i="12"/>
  <c r="V518" i="12"/>
  <c r="T519" i="12"/>
  <c r="U518" i="12"/>
  <c r="Y519" i="12" l="1"/>
  <c r="X519" i="12"/>
  <c r="AA519" i="12"/>
  <c r="AB519" i="12"/>
  <c r="AF519" i="12" s="1"/>
  <c r="AJ519" i="12"/>
  <c r="AC519" i="12"/>
  <c r="AK519" i="12"/>
  <c r="T520" i="12"/>
  <c r="U519" i="12"/>
  <c r="S520" i="12"/>
  <c r="B520" i="12"/>
  <c r="A521" i="12"/>
  <c r="W518" i="12"/>
  <c r="V519" i="12"/>
  <c r="P521" i="12"/>
  <c r="R520" i="12"/>
  <c r="Q520" i="12"/>
  <c r="X520" i="12" l="1"/>
  <c r="Y520" i="12"/>
  <c r="W519" i="12"/>
  <c r="V520" i="12"/>
  <c r="AA520" i="12"/>
  <c r="AB520" i="12"/>
  <c r="AF520" i="12" s="1"/>
  <c r="AK520" i="12"/>
  <c r="AJ520" i="12"/>
  <c r="AC520" i="12"/>
  <c r="T521" i="12"/>
  <c r="U521" i="12" s="1"/>
  <c r="U520" i="12"/>
  <c r="P522" i="12"/>
  <c r="R521" i="12"/>
  <c r="Q521" i="12"/>
  <c r="A522" i="12"/>
  <c r="S521" i="12"/>
  <c r="B521" i="12"/>
  <c r="AI520" i="12"/>
  <c r="AD519" i="12"/>
  <c r="AG519" i="12" s="1"/>
  <c r="Y521" i="12" l="1"/>
  <c r="X521" i="12"/>
  <c r="AD520" i="12"/>
  <c r="AG520" i="12" s="1"/>
  <c r="A523" i="12"/>
  <c r="B522" i="12"/>
  <c r="S522" i="12"/>
  <c r="AA521" i="12"/>
  <c r="AB521" i="12"/>
  <c r="AF521" i="12" s="1"/>
  <c r="AJ521" i="12"/>
  <c r="AC521" i="12"/>
  <c r="AK521" i="12"/>
  <c r="V521" i="12"/>
  <c r="W520" i="12"/>
  <c r="AI521" i="12"/>
  <c r="Q522" i="12"/>
  <c r="P523" i="12"/>
  <c r="R522" i="12"/>
  <c r="T522" i="12"/>
  <c r="X522" i="12" l="1"/>
  <c r="Y522" i="12"/>
  <c r="AI522" i="12"/>
  <c r="AD521" i="12"/>
  <c r="AG521" i="12" s="1"/>
  <c r="AA522" i="12"/>
  <c r="AB522" i="12"/>
  <c r="AF522" i="12" s="1"/>
  <c r="AK522" i="12"/>
  <c r="AJ522" i="12"/>
  <c r="AC522" i="12"/>
  <c r="AD522" i="12" s="1"/>
  <c r="AG522" i="12" s="1"/>
  <c r="T523" i="12"/>
  <c r="U522" i="12"/>
  <c r="V522" i="12"/>
  <c r="W521" i="12"/>
  <c r="A524" i="12"/>
  <c r="B523" i="12"/>
  <c r="S523" i="12"/>
  <c r="Q523" i="12"/>
  <c r="P524" i="12"/>
  <c r="R523" i="12"/>
  <c r="Y523" i="12" l="1"/>
  <c r="X523" i="12"/>
  <c r="AI523" i="12"/>
  <c r="A525" i="12"/>
  <c r="B524" i="12"/>
  <c r="S524" i="12"/>
  <c r="T524" i="12"/>
  <c r="U523" i="12"/>
  <c r="Q524" i="12"/>
  <c r="P525" i="12"/>
  <c r="R524" i="12"/>
  <c r="AA523" i="12"/>
  <c r="AB523" i="12"/>
  <c r="AF523" i="12" s="1"/>
  <c r="AJ523" i="12"/>
  <c r="AC523" i="12"/>
  <c r="AK523" i="12"/>
  <c r="V523" i="12"/>
  <c r="W522" i="12"/>
  <c r="X524" i="12" l="1"/>
  <c r="Y524" i="12"/>
  <c r="AD523" i="12"/>
  <c r="AG523" i="12" s="1"/>
  <c r="AA524" i="12"/>
  <c r="AB524" i="12"/>
  <c r="AF524" i="12" s="1"/>
  <c r="AK524" i="12"/>
  <c r="AJ524" i="12"/>
  <c r="AC524" i="12"/>
  <c r="V524" i="12"/>
  <c r="W523" i="12"/>
  <c r="Q525" i="12"/>
  <c r="P526" i="12"/>
  <c r="R525" i="12"/>
  <c r="T525" i="12"/>
  <c r="U525" i="12" s="1"/>
  <c r="U524" i="12"/>
  <c r="A526" i="12"/>
  <c r="B525" i="12"/>
  <c r="S525" i="12"/>
  <c r="AI524" i="12"/>
  <c r="AD524" i="12" l="1"/>
  <c r="AG524" i="12" s="1"/>
  <c r="Y525" i="12"/>
  <c r="X525" i="12"/>
  <c r="AI525" i="12"/>
  <c r="A527" i="12"/>
  <c r="B526" i="12"/>
  <c r="S526" i="12"/>
  <c r="V525" i="12"/>
  <c r="W524" i="12"/>
  <c r="AA525" i="12"/>
  <c r="AB525" i="12"/>
  <c r="AF525" i="12" s="1"/>
  <c r="AJ525" i="12"/>
  <c r="AC525" i="12"/>
  <c r="AK525" i="12"/>
  <c r="T526" i="12"/>
  <c r="Q526" i="12"/>
  <c r="P527" i="12"/>
  <c r="R526" i="12"/>
  <c r="X526" i="12" l="1"/>
  <c r="Y526" i="12"/>
  <c r="AI526" i="12"/>
  <c r="AD525" i="12"/>
  <c r="AG525" i="12" s="1"/>
  <c r="V526" i="12"/>
  <c r="W525" i="12"/>
  <c r="B527" i="12"/>
  <c r="A528" i="12"/>
  <c r="S527" i="12"/>
  <c r="T527" i="12"/>
  <c r="R527" i="12"/>
  <c r="AI527" i="12" s="1"/>
  <c r="Q527" i="12"/>
  <c r="P528" i="12"/>
  <c r="AA526" i="12"/>
  <c r="AB526" i="12"/>
  <c r="AF526" i="12" s="1"/>
  <c r="AK526" i="12"/>
  <c r="AJ526" i="12"/>
  <c r="AC526" i="12"/>
  <c r="U526" i="12"/>
  <c r="Y527" i="12" l="1"/>
  <c r="X527" i="12"/>
  <c r="AA527" i="12"/>
  <c r="AJ527" i="12"/>
  <c r="AC527" i="12"/>
  <c r="AB527" i="12"/>
  <c r="AF527" i="12" s="1"/>
  <c r="AK527" i="12"/>
  <c r="T528" i="12"/>
  <c r="U527" i="12"/>
  <c r="B528" i="12"/>
  <c r="A529" i="12"/>
  <c r="S528" i="12"/>
  <c r="R528" i="12"/>
  <c r="AI528" i="12" s="1"/>
  <c r="Q528" i="12"/>
  <c r="P529" i="12"/>
  <c r="AD526" i="12"/>
  <c r="AG526" i="12" s="1"/>
  <c r="V527" i="12"/>
  <c r="W526" i="12"/>
  <c r="X528" i="12" l="1"/>
  <c r="Y528" i="12"/>
  <c r="AD527" i="12"/>
  <c r="AG527" i="12" s="1"/>
  <c r="V528" i="12"/>
  <c r="W527" i="12"/>
  <c r="T529" i="12"/>
  <c r="R529" i="12"/>
  <c r="Q529" i="12"/>
  <c r="P530" i="12"/>
  <c r="AA528" i="12"/>
  <c r="AB528" i="12"/>
  <c r="AF528" i="12" s="1"/>
  <c r="AK528" i="12"/>
  <c r="AJ528" i="12"/>
  <c r="AC528" i="12"/>
  <c r="U528" i="12"/>
  <c r="B529" i="12"/>
  <c r="A530" i="12"/>
  <c r="S529" i="12"/>
  <c r="AI529" i="12" l="1"/>
  <c r="AD528" i="12"/>
  <c r="AG528" i="12" s="1"/>
  <c r="X529" i="12"/>
  <c r="Y529" i="12"/>
  <c r="A531" i="12"/>
  <c r="B530" i="12"/>
  <c r="S530" i="12"/>
  <c r="R530" i="12"/>
  <c r="P531" i="12"/>
  <c r="Q530" i="12"/>
  <c r="T530" i="12"/>
  <c r="V529" i="12"/>
  <c r="W528" i="12"/>
  <c r="AA529" i="12"/>
  <c r="AJ529" i="12"/>
  <c r="AC529" i="12"/>
  <c r="AB529" i="12"/>
  <c r="AF529" i="12" s="1"/>
  <c r="AK529" i="12"/>
  <c r="U529" i="12"/>
  <c r="X530" i="12" l="1"/>
  <c r="Y530" i="12"/>
  <c r="AI530" i="12"/>
  <c r="AD529" i="12"/>
  <c r="AG529" i="12" s="1"/>
  <c r="V530" i="12"/>
  <c r="W529" i="12"/>
  <c r="Q531" i="12"/>
  <c r="P532" i="12"/>
  <c r="R531" i="12"/>
  <c r="AC530" i="12"/>
  <c r="AJ530" i="12"/>
  <c r="AA530" i="12"/>
  <c r="AK530" i="12"/>
  <c r="AB530" i="12"/>
  <c r="AF530" i="12" s="1"/>
  <c r="T531" i="12"/>
  <c r="U531" i="12" s="1"/>
  <c r="U530" i="12"/>
  <c r="A532" i="12"/>
  <c r="S531" i="12"/>
  <c r="B531" i="12"/>
  <c r="Y531" i="12" l="1"/>
  <c r="X531" i="12"/>
  <c r="AD530" i="12"/>
  <c r="AG530" i="12" s="1"/>
  <c r="V531" i="12"/>
  <c r="W530" i="12"/>
  <c r="B532" i="12"/>
  <c r="A533" i="12"/>
  <c r="S532" i="12"/>
  <c r="AB531" i="12"/>
  <c r="AF531" i="12" s="1"/>
  <c r="AA531" i="12"/>
  <c r="AK531" i="12"/>
  <c r="AC531" i="12"/>
  <c r="AJ531" i="12"/>
  <c r="T532" i="12"/>
  <c r="R532" i="12"/>
  <c r="Q532" i="12"/>
  <c r="P533" i="12"/>
  <c r="AI531" i="12"/>
  <c r="X532" i="12" l="1"/>
  <c r="Y532" i="12"/>
  <c r="AD531" i="12"/>
  <c r="AG531" i="12" s="1"/>
  <c r="P534" i="12"/>
  <c r="R533" i="12"/>
  <c r="Q533" i="12"/>
  <c r="T533" i="12"/>
  <c r="U532" i="12"/>
  <c r="V532" i="12"/>
  <c r="W531" i="12"/>
  <c r="S533" i="12"/>
  <c r="B533" i="12"/>
  <c r="A534" i="12"/>
  <c r="AB532" i="12"/>
  <c r="AF532" i="12" s="1"/>
  <c r="AJ532" i="12"/>
  <c r="AC532" i="12"/>
  <c r="AA532" i="12"/>
  <c r="AK532" i="12"/>
  <c r="AI532" i="12"/>
  <c r="AI533" i="12" l="1"/>
  <c r="Y533" i="12"/>
  <c r="X533" i="12"/>
  <c r="AD532" i="12"/>
  <c r="AG532" i="12" s="1"/>
  <c r="A535" i="12"/>
  <c r="S534" i="12"/>
  <c r="B534" i="12"/>
  <c r="AB533" i="12"/>
  <c r="AF533" i="12" s="1"/>
  <c r="AK533" i="12"/>
  <c r="AJ533" i="12"/>
  <c r="AC533" i="12"/>
  <c r="AA533" i="12"/>
  <c r="V533" i="12"/>
  <c r="W532" i="12"/>
  <c r="T534" i="12"/>
  <c r="U533" i="12"/>
  <c r="P535" i="12"/>
  <c r="R534" i="12"/>
  <c r="Q534" i="12"/>
  <c r="X534" i="12" l="1"/>
  <c r="Y534" i="12"/>
  <c r="T535" i="12"/>
  <c r="U534" i="12"/>
  <c r="U535" i="12"/>
  <c r="AB534" i="12"/>
  <c r="AF534" i="12" s="1"/>
  <c r="AK534" i="12"/>
  <c r="AJ534" i="12"/>
  <c r="AC534" i="12"/>
  <c r="AA534" i="12"/>
  <c r="W533" i="12"/>
  <c r="V534" i="12"/>
  <c r="Q535" i="12"/>
  <c r="P536" i="12"/>
  <c r="R535" i="12"/>
  <c r="AD533" i="12"/>
  <c r="AG533" i="12" s="1"/>
  <c r="AI534" i="12"/>
  <c r="A536" i="12"/>
  <c r="S535" i="12"/>
  <c r="B535" i="12"/>
  <c r="AD534" i="12" l="1"/>
  <c r="AG534" i="12" s="1"/>
  <c r="Y535" i="12"/>
  <c r="X535" i="12"/>
  <c r="W534" i="12"/>
  <c r="V535" i="12"/>
  <c r="A537" i="12"/>
  <c r="B536" i="12"/>
  <c r="S536" i="12"/>
  <c r="T536" i="12"/>
  <c r="AK535" i="12"/>
  <c r="AA535" i="12"/>
  <c r="AC535" i="12"/>
  <c r="AD535" i="12" s="1"/>
  <c r="AG535" i="12" s="1"/>
  <c r="AB535" i="12"/>
  <c r="AF535" i="12" s="1"/>
  <c r="AJ535" i="12"/>
  <c r="R536" i="12"/>
  <c r="P537" i="12"/>
  <c r="Q536" i="12"/>
  <c r="AI535" i="12"/>
  <c r="X536" i="12" l="1"/>
  <c r="Y536" i="12"/>
  <c r="AI536" i="12"/>
  <c r="A538" i="12"/>
  <c r="S537" i="12"/>
  <c r="B537" i="12"/>
  <c r="Q537" i="12"/>
  <c r="P538" i="12"/>
  <c r="R537" i="12"/>
  <c r="V536" i="12"/>
  <c r="W535" i="12"/>
  <c r="T537" i="12"/>
  <c r="U536" i="12"/>
  <c r="U537" i="12"/>
  <c r="AA536" i="12"/>
  <c r="AK536" i="12"/>
  <c r="AB536" i="12"/>
  <c r="AF536" i="12" s="1"/>
  <c r="AC536" i="12"/>
  <c r="AJ536" i="12"/>
  <c r="AI537" i="12" l="1"/>
  <c r="Y537" i="12"/>
  <c r="X537" i="12"/>
  <c r="R538" i="12"/>
  <c r="AI538" i="12" s="1"/>
  <c r="P539" i="12"/>
  <c r="Q538" i="12"/>
  <c r="A539" i="12"/>
  <c r="B538" i="12"/>
  <c r="S538" i="12"/>
  <c r="AD536" i="12"/>
  <c r="AG536" i="12" s="1"/>
  <c r="T538" i="12"/>
  <c r="W536" i="12"/>
  <c r="V537" i="12"/>
  <c r="AJ537" i="12"/>
  <c r="AC537" i="12"/>
  <c r="AA537" i="12"/>
  <c r="AK537" i="12"/>
  <c r="AB537" i="12"/>
  <c r="AF537" i="12" s="1"/>
  <c r="X538" i="12" l="1"/>
  <c r="Y538" i="12"/>
  <c r="AD537" i="12"/>
  <c r="AG537" i="12" s="1"/>
  <c r="T539" i="12"/>
  <c r="U538" i="12"/>
  <c r="U539" i="12"/>
  <c r="V538" i="12"/>
  <c r="W537" i="12"/>
  <c r="AA538" i="12"/>
  <c r="AK538" i="12"/>
  <c r="AB538" i="12"/>
  <c r="AF538" i="12" s="1"/>
  <c r="AC538" i="12"/>
  <c r="AJ538" i="12"/>
  <c r="Q539" i="12"/>
  <c r="P540" i="12"/>
  <c r="R539" i="12"/>
  <c r="A540" i="12"/>
  <c r="S539" i="12"/>
  <c r="B539" i="12"/>
  <c r="Y539" i="12" l="1"/>
  <c r="X539" i="12"/>
  <c r="W538" i="12"/>
  <c r="V539" i="12"/>
  <c r="R540" i="12"/>
  <c r="P541" i="12"/>
  <c r="Q540" i="12"/>
  <c r="AI539" i="12"/>
  <c r="T540" i="12"/>
  <c r="U540" i="12"/>
  <c r="A541" i="12"/>
  <c r="B540" i="12"/>
  <c r="S540" i="12"/>
  <c r="AC539" i="12"/>
  <c r="AA539" i="12"/>
  <c r="AJ539" i="12"/>
  <c r="AB539" i="12"/>
  <c r="AF539" i="12" s="1"/>
  <c r="AK539" i="12"/>
  <c r="AD538" i="12"/>
  <c r="AG538" i="12" s="1"/>
  <c r="X540" i="12" l="1"/>
  <c r="Y540" i="12"/>
  <c r="AI540" i="12"/>
  <c r="Q541" i="12"/>
  <c r="P542" i="12"/>
  <c r="R541" i="12"/>
  <c r="AA540" i="12"/>
  <c r="AK540" i="12"/>
  <c r="AB540" i="12"/>
  <c r="AF540" i="12" s="1"/>
  <c r="AC540" i="12"/>
  <c r="AJ540" i="12"/>
  <c r="V540" i="12"/>
  <c r="W539" i="12"/>
  <c r="AD539" i="12"/>
  <c r="AG539" i="12" s="1"/>
  <c r="A542" i="12"/>
  <c r="S541" i="12"/>
  <c r="B541" i="12"/>
  <c r="T541" i="12"/>
  <c r="Y541" i="12" l="1"/>
  <c r="X541" i="12"/>
  <c r="AI541" i="12"/>
  <c r="AD540" i="12"/>
  <c r="AG540" i="12" s="1"/>
  <c r="AJ541" i="12"/>
  <c r="AA541" i="12"/>
  <c r="AK541" i="12"/>
  <c r="AC541" i="12"/>
  <c r="AB541" i="12"/>
  <c r="AF541" i="12" s="1"/>
  <c r="R542" i="12"/>
  <c r="P543" i="12"/>
  <c r="Q542" i="12"/>
  <c r="A543" i="12"/>
  <c r="B542" i="12"/>
  <c r="S542" i="12"/>
  <c r="T542" i="12"/>
  <c r="U542" i="12" s="1"/>
  <c r="U541" i="12"/>
  <c r="V541" i="12"/>
  <c r="W540" i="12"/>
  <c r="AI542" i="12"/>
  <c r="X542" i="12" l="1"/>
  <c r="Y542" i="12"/>
  <c r="AD541" i="12"/>
  <c r="AG541" i="12" s="1"/>
  <c r="A544" i="12"/>
  <c r="S543" i="12"/>
  <c r="B543" i="12"/>
  <c r="Q543" i="12"/>
  <c r="P544" i="12"/>
  <c r="R543" i="12"/>
  <c r="V542" i="12"/>
  <c r="W541" i="12"/>
  <c r="T543" i="12"/>
  <c r="AA542" i="12"/>
  <c r="AK542" i="12"/>
  <c r="AB542" i="12"/>
  <c r="AF542" i="12" s="1"/>
  <c r="AC542" i="12"/>
  <c r="AJ542" i="12"/>
  <c r="Y543" i="12" l="1"/>
  <c r="X543" i="12"/>
  <c r="AD542" i="12"/>
  <c r="AG542" i="12" s="1"/>
  <c r="R544" i="12"/>
  <c r="P545" i="12"/>
  <c r="Q544" i="12"/>
  <c r="A545" i="12"/>
  <c r="B544" i="12"/>
  <c r="S544" i="12"/>
  <c r="V543" i="12"/>
  <c r="W542" i="12"/>
  <c r="AA543" i="12"/>
  <c r="AB543" i="12"/>
  <c r="AF543" i="12" s="1"/>
  <c r="AK543" i="12"/>
  <c r="AC543" i="12"/>
  <c r="AJ543" i="12"/>
  <c r="T544" i="12"/>
  <c r="U543" i="12"/>
  <c r="AI543" i="12"/>
  <c r="X544" i="12" l="1"/>
  <c r="Y544" i="12"/>
  <c r="AD543" i="12"/>
  <c r="AG543" i="12" s="1"/>
  <c r="AA544" i="12"/>
  <c r="AK544" i="12"/>
  <c r="AB544" i="12"/>
  <c r="AF544" i="12" s="1"/>
  <c r="AC544" i="12"/>
  <c r="AJ544" i="12"/>
  <c r="Q545" i="12"/>
  <c r="P546" i="12"/>
  <c r="R545" i="12"/>
  <c r="T545" i="12"/>
  <c r="V544" i="12"/>
  <c r="W543" i="12"/>
  <c r="A546" i="12"/>
  <c r="S545" i="12"/>
  <c r="B545" i="12"/>
  <c r="AI544" i="12"/>
  <c r="U544" i="12"/>
  <c r="X545" i="12" l="1"/>
  <c r="Y545" i="12"/>
  <c r="AI545" i="12"/>
  <c r="AJ545" i="12"/>
  <c r="AK545" i="12"/>
  <c r="AB545" i="12"/>
  <c r="AF545" i="12" s="1"/>
  <c r="AC545" i="12"/>
  <c r="AA545" i="12"/>
  <c r="A547" i="12"/>
  <c r="B546" i="12"/>
  <c r="S546" i="12"/>
  <c r="R546" i="12"/>
  <c r="P547" i="12"/>
  <c r="Q546" i="12"/>
  <c r="W544" i="12"/>
  <c r="V545" i="12"/>
  <c r="T546" i="12"/>
  <c r="U545" i="12"/>
  <c r="AD544" i="12"/>
  <c r="AG544" i="12" s="1"/>
  <c r="X546" i="12" l="1"/>
  <c r="Y546" i="12"/>
  <c r="AI546" i="12"/>
  <c r="AD545" i="12"/>
  <c r="AG545" i="12" s="1"/>
  <c r="T547" i="12"/>
  <c r="U547" i="12" s="1"/>
  <c r="U546" i="12"/>
  <c r="V546" i="12"/>
  <c r="W545" i="12"/>
  <c r="A548" i="12"/>
  <c r="S547" i="12"/>
  <c r="B547" i="12"/>
  <c r="Q547" i="12"/>
  <c r="P548" i="12"/>
  <c r="R547" i="12"/>
  <c r="AJ546" i="12"/>
  <c r="AB546" i="12"/>
  <c r="AF546" i="12" s="1"/>
  <c r="AC546" i="12"/>
  <c r="AK546" i="12"/>
  <c r="AA546" i="12"/>
  <c r="Y547" i="12" l="1"/>
  <c r="X547" i="12"/>
  <c r="AI547" i="12"/>
  <c r="AD546" i="12"/>
  <c r="AG546" i="12" s="1"/>
  <c r="A549" i="12"/>
  <c r="S548" i="12"/>
  <c r="B548" i="12"/>
  <c r="Q548" i="12"/>
  <c r="R548" i="12"/>
  <c r="P549" i="12"/>
  <c r="AB547" i="12"/>
  <c r="AF547" i="12" s="1"/>
  <c r="AK547" i="12"/>
  <c r="AA547" i="12"/>
  <c r="AJ547" i="12"/>
  <c r="AC547" i="12"/>
  <c r="AD547" i="12" s="1"/>
  <c r="AG547" i="12" s="1"/>
  <c r="AI548" i="12"/>
  <c r="W546" i="12"/>
  <c r="V547" i="12"/>
  <c r="T548" i="12"/>
  <c r="X548" i="12" l="1"/>
  <c r="Y548" i="12"/>
  <c r="AK548" i="12"/>
  <c r="AA548" i="12"/>
  <c r="AC548" i="12"/>
  <c r="AJ548" i="12"/>
  <c r="AB548" i="12"/>
  <c r="AF548" i="12" s="1"/>
  <c r="R549" i="12"/>
  <c r="Q549" i="12"/>
  <c r="P550" i="12"/>
  <c r="U548" i="12"/>
  <c r="W547" i="12"/>
  <c r="V548" i="12"/>
  <c r="S549" i="12"/>
  <c r="B549" i="12"/>
  <c r="A550" i="12"/>
  <c r="T549" i="12"/>
  <c r="AI549" i="12"/>
  <c r="Y549" i="12" l="1"/>
  <c r="X549" i="12"/>
  <c r="AB549" i="12"/>
  <c r="AF549" i="12" s="1"/>
  <c r="AK549" i="12"/>
  <c r="AJ549" i="12"/>
  <c r="AC549" i="12"/>
  <c r="AA549" i="12"/>
  <c r="V549" i="12"/>
  <c r="W548" i="12"/>
  <c r="AD548" i="12"/>
  <c r="AG548" i="12" s="1"/>
  <c r="T550" i="12"/>
  <c r="A551" i="12"/>
  <c r="S550" i="12"/>
  <c r="B550" i="12"/>
  <c r="P551" i="12"/>
  <c r="R550" i="12"/>
  <c r="Q550" i="12"/>
  <c r="U549" i="12"/>
  <c r="AD549" i="12" l="1"/>
  <c r="AG549" i="12" s="1"/>
  <c r="X550" i="12"/>
  <c r="Y550" i="12"/>
  <c r="P552" i="12"/>
  <c r="Q551" i="12"/>
  <c r="R551" i="12"/>
  <c r="S551" i="12"/>
  <c r="A552" i="12"/>
  <c r="B551" i="12"/>
  <c r="T551" i="12"/>
  <c r="U550" i="12"/>
  <c r="W549" i="12"/>
  <c r="V550" i="12"/>
  <c r="AJ550" i="12"/>
  <c r="AK550" i="12"/>
  <c r="AC550" i="12"/>
  <c r="AA550" i="12"/>
  <c r="AB550" i="12"/>
  <c r="AF550" i="12" s="1"/>
  <c r="AI550" i="12"/>
  <c r="Y551" i="12" l="1"/>
  <c r="X551" i="12"/>
  <c r="AK551" i="12"/>
  <c r="AB551" i="12"/>
  <c r="AF551" i="12" s="1"/>
  <c r="AJ551" i="12"/>
  <c r="AC551" i="12"/>
  <c r="AA551" i="12"/>
  <c r="A553" i="12"/>
  <c r="S552" i="12"/>
  <c r="B552" i="12"/>
  <c r="W550" i="12"/>
  <c r="V551" i="12"/>
  <c r="P553" i="12"/>
  <c r="R552" i="12"/>
  <c r="Q552" i="12"/>
  <c r="AD550" i="12"/>
  <c r="AG550" i="12" s="1"/>
  <c r="T552" i="12"/>
  <c r="U552" i="12" s="1"/>
  <c r="U551" i="12"/>
  <c r="AI551" i="12"/>
  <c r="X552" i="12" l="1"/>
  <c r="Y552" i="12"/>
  <c r="AD551" i="12"/>
  <c r="AG551" i="12" s="1"/>
  <c r="V552" i="12"/>
  <c r="W551" i="12"/>
  <c r="AK552" i="12"/>
  <c r="AA552" i="12"/>
  <c r="AJ552" i="12"/>
  <c r="AB552" i="12"/>
  <c r="AF552" i="12" s="1"/>
  <c r="AC552" i="12"/>
  <c r="AD552" i="12" s="1"/>
  <c r="AG552" i="12" s="1"/>
  <c r="P554" i="12"/>
  <c r="Q553" i="12"/>
  <c r="R553" i="12"/>
  <c r="T553" i="12"/>
  <c r="U553" i="12" s="1"/>
  <c r="AI552" i="12"/>
  <c r="S553" i="12"/>
  <c r="A554" i="12"/>
  <c r="B553" i="12"/>
  <c r="Y553" i="12" l="1"/>
  <c r="X553" i="12"/>
  <c r="AI553" i="12"/>
  <c r="AK553" i="12"/>
  <c r="AB553" i="12"/>
  <c r="AF553" i="12" s="1"/>
  <c r="AJ553" i="12"/>
  <c r="AC553" i="12"/>
  <c r="AA553" i="12"/>
  <c r="A555" i="12"/>
  <c r="S554" i="12"/>
  <c r="B554" i="12"/>
  <c r="T554" i="12"/>
  <c r="P555" i="12"/>
  <c r="R554" i="12"/>
  <c r="Q554" i="12"/>
  <c r="W552" i="12"/>
  <c r="V553" i="12"/>
  <c r="X554" i="12" l="1"/>
  <c r="Y554" i="12"/>
  <c r="AD553" i="12"/>
  <c r="AG553" i="12" s="1"/>
  <c r="V554" i="12"/>
  <c r="W553" i="12"/>
  <c r="P556" i="12"/>
  <c r="Q555" i="12"/>
  <c r="R555" i="12"/>
  <c r="T555" i="12"/>
  <c r="U555" i="12"/>
  <c r="U554" i="12"/>
  <c r="AI554" i="12"/>
  <c r="S555" i="12"/>
  <c r="A556" i="12"/>
  <c r="B555" i="12"/>
  <c r="AC554" i="12"/>
  <c r="AK554" i="12"/>
  <c r="AA554" i="12"/>
  <c r="AJ554" i="12"/>
  <c r="AB554" i="12"/>
  <c r="AF554" i="12" s="1"/>
  <c r="Y555" i="12" l="1"/>
  <c r="X555" i="12"/>
  <c r="A557" i="12"/>
  <c r="S556" i="12"/>
  <c r="B556" i="12"/>
  <c r="W554" i="12"/>
  <c r="V555" i="12"/>
  <c r="AD554" i="12"/>
  <c r="AG554" i="12" s="1"/>
  <c r="AI555" i="12"/>
  <c r="AK555" i="12"/>
  <c r="AB555" i="12"/>
  <c r="AF555" i="12" s="1"/>
  <c r="AJ555" i="12"/>
  <c r="AC555" i="12"/>
  <c r="AA555" i="12"/>
  <c r="T556" i="12"/>
  <c r="P557" i="12"/>
  <c r="R556" i="12"/>
  <c r="Q556" i="12"/>
  <c r="X556" i="12" l="1"/>
  <c r="Y556" i="12"/>
  <c r="T557" i="12"/>
  <c r="U556" i="12"/>
  <c r="AI556" i="12"/>
  <c r="AK556" i="12"/>
  <c r="AJ556" i="12"/>
  <c r="AC556" i="12"/>
  <c r="AB556" i="12"/>
  <c r="AF556" i="12" s="1"/>
  <c r="AA556" i="12"/>
  <c r="V556" i="12"/>
  <c r="W555" i="12"/>
  <c r="P558" i="12"/>
  <c r="Q557" i="12"/>
  <c r="R557" i="12"/>
  <c r="U557" i="12"/>
  <c r="AD555" i="12"/>
  <c r="AG555" i="12" s="1"/>
  <c r="S557" i="12"/>
  <c r="A558" i="12"/>
  <c r="B557" i="12"/>
  <c r="AD556" i="12" l="1"/>
  <c r="AG556" i="12" s="1"/>
  <c r="Y557" i="12"/>
  <c r="X557" i="12"/>
  <c r="AK557" i="12"/>
  <c r="AB557" i="12"/>
  <c r="AF557" i="12" s="1"/>
  <c r="AJ557" i="12"/>
  <c r="AC557" i="12"/>
  <c r="AA557" i="12"/>
  <c r="P559" i="12"/>
  <c r="R558" i="12"/>
  <c r="Q558" i="12"/>
  <c r="T558" i="12"/>
  <c r="A559" i="12"/>
  <c r="S558" i="12"/>
  <c r="B558" i="12"/>
  <c r="W556" i="12"/>
  <c r="V557" i="12"/>
  <c r="AI557" i="12"/>
  <c r="X558" i="12" l="1"/>
  <c r="Y558" i="12"/>
  <c r="AD557" i="12"/>
  <c r="AG557" i="12" s="1"/>
  <c r="A560" i="12"/>
  <c r="B559" i="12"/>
  <c r="S559" i="12"/>
  <c r="V558" i="12"/>
  <c r="W557" i="12"/>
  <c r="T559" i="12"/>
  <c r="U558" i="12"/>
  <c r="R559" i="12"/>
  <c r="P560" i="12"/>
  <c r="Q559" i="12"/>
  <c r="AI559" i="12" s="1"/>
  <c r="AA558" i="12"/>
  <c r="AB558" i="12"/>
  <c r="AF558" i="12" s="1"/>
  <c r="AK558" i="12"/>
  <c r="AJ558" i="12"/>
  <c r="AC558" i="12"/>
  <c r="AI558" i="12"/>
  <c r="AD558" i="12" l="1"/>
  <c r="AG558" i="12" s="1"/>
  <c r="Y559" i="12"/>
  <c r="X559" i="12"/>
  <c r="T560" i="12"/>
  <c r="U560" i="12" s="1"/>
  <c r="U559" i="12"/>
  <c r="AK559" i="12"/>
  <c r="AB559" i="12"/>
  <c r="AF559" i="12" s="1"/>
  <c r="AJ559" i="12"/>
  <c r="AC559" i="12"/>
  <c r="AA559" i="12"/>
  <c r="Q560" i="12"/>
  <c r="P561" i="12"/>
  <c r="R560" i="12"/>
  <c r="V559" i="12"/>
  <c r="W558" i="12"/>
  <c r="A561" i="12"/>
  <c r="S560" i="12"/>
  <c r="B560" i="12"/>
  <c r="X560" i="12" l="1"/>
  <c r="Y560" i="12"/>
  <c r="AD559" i="12"/>
  <c r="AG559" i="12" s="1"/>
  <c r="AI560" i="12"/>
  <c r="A562" i="12"/>
  <c r="B561" i="12"/>
  <c r="S561" i="12"/>
  <c r="AK560" i="12"/>
  <c r="AJ560" i="12"/>
  <c r="AC560" i="12"/>
  <c r="AA560" i="12"/>
  <c r="AB560" i="12"/>
  <c r="AF560" i="12" s="1"/>
  <c r="R561" i="12"/>
  <c r="P562" i="12"/>
  <c r="Q561" i="12"/>
  <c r="V560" i="12"/>
  <c r="W559" i="12"/>
  <c r="T561" i="12"/>
  <c r="Y561" i="12" l="1"/>
  <c r="X561" i="12"/>
  <c r="AI561" i="12"/>
  <c r="T562" i="12"/>
  <c r="U561" i="12"/>
  <c r="U562" i="12"/>
  <c r="Q562" i="12"/>
  <c r="P563" i="12"/>
  <c r="R562" i="12"/>
  <c r="AD560" i="12"/>
  <c r="AG560" i="12" s="1"/>
  <c r="V561" i="12"/>
  <c r="W560" i="12"/>
  <c r="AK561" i="12"/>
  <c r="AB561" i="12"/>
  <c r="AF561" i="12" s="1"/>
  <c r="AA561" i="12"/>
  <c r="AJ561" i="12"/>
  <c r="AC561" i="12"/>
  <c r="AD561" i="12" s="1"/>
  <c r="AG561" i="12" s="1"/>
  <c r="A563" i="12"/>
  <c r="S562" i="12"/>
  <c r="B562" i="12"/>
  <c r="X562" i="12" l="1"/>
  <c r="Y562" i="12"/>
  <c r="AC562" i="12"/>
  <c r="AK562" i="12"/>
  <c r="AB562" i="12"/>
  <c r="AF562" i="12" s="1"/>
  <c r="AA562" i="12"/>
  <c r="AJ562" i="12"/>
  <c r="T563" i="12"/>
  <c r="Q563" i="12"/>
  <c r="P564" i="12"/>
  <c r="R563" i="12"/>
  <c r="V562" i="12"/>
  <c r="W561" i="12"/>
  <c r="AI562" i="12"/>
  <c r="A564" i="12"/>
  <c r="S563" i="12"/>
  <c r="B563" i="12"/>
  <c r="AI563" i="12" l="1"/>
  <c r="Y563" i="12"/>
  <c r="X563" i="12"/>
  <c r="R564" i="12"/>
  <c r="Q564" i="12"/>
  <c r="P565" i="12"/>
  <c r="B564" i="12"/>
  <c r="A565" i="12"/>
  <c r="S564" i="12"/>
  <c r="W562" i="12"/>
  <c r="V563" i="12"/>
  <c r="T564" i="12"/>
  <c r="U563" i="12"/>
  <c r="AB563" i="12"/>
  <c r="AF563" i="12" s="1"/>
  <c r="AA563" i="12"/>
  <c r="AK563" i="12"/>
  <c r="AJ563" i="12"/>
  <c r="AC563" i="12"/>
  <c r="AD563" i="12" s="1"/>
  <c r="AG563" i="12" s="1"/>
  <c r="AD562" i="12"/>
  <c r="AG562" i="12" s="1"/>
  <c r="AI564" i="12" l="1"/>
  <c r="X564" i="12"/>
  <c r="Y564" i="12"/>
  <c r="T565" i="12"/>
  <c r="U565" i="12" s="1"/>
  <c r="R565" i="12"/>
  <c r="P566" i="12"/>
  <c r="Q565" i="12"/>
  <c r="AI565" i="12" s="1"/>
  <c r="V564" i="12"/>
  <c r="W563" i="12"/>
  <c r="S565" i="12"/>
  <c r="B565" i="12"/>
  <c r="A566" i="12"/>
  <c r="U564" i="12"/>
  <c r="AB564" i="12"/>
  <c r="AF564" i="12" s="1"/>
  <c r="AJ564" i="12"/>
  <c r="AC564" i="12"/>
  <c r="AD564" i="12" s="1"/>
  <c r="AG564" i="12" s="1"/>
  <c r="AA564" i="12"/>
  <c r="AK564" i="12"/>
  <c r="X565" i="12" l="1"/>
  <c r="Y565" i="12"/>
  <c r="S566" i="12"/>
  <c r="B566" i="12"/>
  <c r="A567" i="12"/>
  <c r="P567" i="12"/>
  <c r="R566" i="12"/>
  <c r="AI566" i="12" s="1"/>
  <c r="Q566" i="12"/>
  <c r="AB565" i="12"/>
  <c r="AF565" i="12" s="1"/>
  <c r="AJ565" i="12"/>
  <c r="AC565" i="12"/>
  <c r="AD565" i="12" s="1"/>
  <c r="AG565" i="12" s="1"/>
  <c r="AK565" i="12"/>
  <c r="AA565" i="12"/>
  <c r="V565" i="12"/>
  <c r="W564" i="12"/>
  <c r="T566" i="12"/>
  <c r="X566" i="12" l="1"/>
  <c r="Y566" i="12"/>
  <c r="S567" i="12"/>
  <c r="A568" i="12"/>
  <c r="B567" i="12"/>
  <c r="T567" i="12"/>
  <c r="U567" i="12" s="1"/>
  <c r="U566" i="12"/>
  <c r="AB566" i="12"/>
  <c r="AF566" i="12" s="1"/>
  <c r="AJ566" i="12"/>
  <c r="AK566" i="12"/>
  <c r="AC566" i="12"/>
  <c r="AA566" i="12"/>
  <c r="W565" i="12"/>
  <c r="V566" i="12"/>
  <c r="R567" i="12"/>
  <c r="P568" i="12"/>
  <c r="Q567" i="12"/>
  <c r="Y567" i="12" l="1"/>
  <c r="X567" i="12"/>
  <c r="AI567" i="12"/>
  <c r="AD566" i="12"/>
  <c r="AG566" i="12" s="1"/>
  <c r="AA567" i="12"/>
  <c r="AK567" i="12"/>
  <c r="AB567" i="12"/>
  <c r="AF567" i="12" s="1"/>
  <c r="AC567" i="12"/>
  <c r="AJ567" i="12"/>
  <c r="R568" i="12"/>
  <c r="Q568" i="12"/>
  <c r="P569" i="12"/>
  <c r="W566" i="12"/>
  <c r="V567" i="12"/>
  <c r="T568" i="12"/>
  <c r="B568" i="12"/>
  <c r="S568" i="12"/>
  <c r="A569" i="12"/>
  <c r="AD567" i="12" l="1"/>
  <c r="AG567" i="12" s="1"/>
  <c r="AI568" i="12"/>
  <c r="X568" i="12"/>
  <c r="Y568" i="12"/>
  <c r="T569" i="12"/>
  <c r="U569" i="12" s="1"/>
  <c r="U568" i="12"/>
  <c r="R569" i="12"/>
  <c r="P570" i="12"/>
  <c r="Q569" i="12"/>
  <c r="AI569" i="12" s="1"/>
  <c r="AA568" i="12"/>
  <c r="AB568" i="12"/>
  <c r="AF568" i="12" s="1"/>
  <c r="AJ568" i="12"/>
  <c r="AK568" i="12"/>
  <c r="AC568" i="12"/>
  <c r="S569" i="12"/>
  <c r="A570" i="12"/>
  <c r="B569" i="12"/>
  <c r="V568" i="12"/>
  <c r="W567" i="12"/>
  <c r="AD568" i="12" l="1"/>
  <c r="AG568" i="12" s="1"/>
  <c r="Y569" i="12"/>
  <c r="X569" i="12"/>
  <c r="V569" i="12"/>
  <c r="W568" i="12"/>
  <c r="R570" i="12"/>
  <c r="Q570" i="12"/>
  <c r="P571" i="12"/>
  <c r="B570" i="12"/>
  <c r="A571" i="12"/>
  <c r="S570" i="12"/>
  <c r="AA569" i="12"/>
  <c r="AK569" i="12"/>
  <c r="AB569" i="12"/>
  <c r="AF569" i="12" s="1"/>
  <c r="AC569" i="12"/>
  <c r="AJ569" i="12"/>
  <c r="T570" i="12"/>
  <c r="U570" i="12" s="1"/>
  <c r="X570" i="12" l="1"/>
  <c r="Y570" i="12"/>
  <c r="AD569" i="12"/>
  <c r="AG569" i="12" s="1"/>
  <c r="S571" i="12"/>
  <c r="A572" i="12"/>
  <c r="B571" i="12"/>
  <c r="AJ570" i="12"/>
  <c r="AC570" i="12"/>
  <c r="AA570" i="12"/>
  <c r="AB570" i="12"/>
  <c r="AF570" i="12" s="1"/>
  <c r="AK570" i="12"/>
  <c r="R571" i="12"/>
  <c r="Q571" i="12"/>
  <c r="P572" i="12"/>
  <c r="V570" i="12"/>
  <c r="W569" i="12"/>
  <c r="T571" i="12"/>
  <c r="AI570" i="12"/>
  <c r="AI571" i="12" l="1"/>
  <c r="Y571" i="12"/>
  <c r="X571" i="12"/>
  <c r="V571" i="12"/>
  <c r="W570" i="12"/>
  <c r="T572" i="12"/>
  <c r="R572" i="12"/>
  <c r="Q572" i="12"/>
  <c r="P573" i="12"/>
  <c r="U571" i="12"/>
  <c r="AA571" i="12"/>
  <c r="AK571" i="12"/>
  <c r="AB571" i="12"/>
  <c r="AF571" i="12" s="1"/>
  <c r="AJ571" i="12"/>
  <c r="AC571" i="12"/>
  <c r="AD571" i="12" s="1"/>
  <c r="AG571" i="12" s="1"/>
  <c r="AD570" i="12"/>
  <c r="AG570" i="12" s="1"/>
  <c r="B572" i="12"/>
  <c r="S572" i="12"/>
  <c r="A573" i="12"/>
  <c r="X572" i="12" l="1"/>
  <c r="Y572" i="12"/>
  <c r="AI572" i="12"/>
  <c r="T573" i="12"/>
  <c r="U572" i="12"/>
  <c r="S573" i="12"/>
  <c r="A574" i="12"/>
  <c r="B573" i="12"/>
  <c r="AA572" i="12"/>
  <c r="AC572" i="12"/>
  <c r="AK572" i="12"/>
  <c r="AJ572" i="12"/>
  <c r="AB572" i="12"/>
  <c r="AF572" i="12" s="1"/>
  <c r="R573" i="12"/>
  <c r="Q573" i="12"/>
  <c r="P574" i="12"/>
  <c r="V572" i="12"/>
  <c r="W571" i="12"/>
  <c r="Y573" i="12" l="1"/>
  <c r="X573" i="12"/>
  <c r="V573" i="12"/>
  <c r="W572" i="12"/>
  <c r="AA573" i="12"/>
  <c r="AK573" i="12"/>
  <c r="AB573" i="12"/>
  <c r="AF573" i="12" s="1"/>
  <c r="AC573" i="12"/>
  <c r="AJ573" i="12"/>
  <c r="AD572" i="12"/>
  <c r="AG572" i="12" s="1"/>
  <c r="B574" i="12"/>
  <c r="S574" i="12"/>
  <c r="A575" i="12"/>
  <c r="T574" i="12"/>
  <c r="R574" i="12"/>
  <c r="Q574" i="12"/>
  <c r="P575" i="12"/>
  <c r="U573" i="12"/>
  <c r="AI573" i="12"/>
  <c r="X574" i="12" l="1"/>
  <c r="Y574" i="12"/>
  <c r="AD573" i="12"/>
  <c r="AG573" i="12" s="1"/>
  <c r="R575" i="12"/>
  <c r="P576" i="12"/>
  <c r="Q575" i="12"/>
  <c r="S575" i="12"/>
  <c r="A576" i="12"/>
  <c r="B575" i="12"/>
  <c r="AI574" i="12"/>
  <c r="T575" i="12"/>
  <c r="U575" i="12" s="1"/>
  <c r="U574" i="12"/>
  <c r="AA574" i="12"/>
  <c r="AC574" i="12"/>
  <c r="AB574" i="12"/>
  <c r="AF574" i="12" s="1"/>
  <c r="AJ574" i="12"/>
  <c r="AK574" i="12"/>
  <c r="V574" i="12"/>
  <c r="W573" i="12"/>
  <c r="Y575" i="12" l="1"/>
  <c r="X575" i="12"/>
  <c r="V575" i="12"/>
  <c r="W574" i="12"/>
  <c r="AD574" i="12"/>
  <c r="AG574" i="12" s="1"/>
  <c r="T576" i="12"/>
  <c r="U576" i="12" s="1"/>
  <c r="AA575" i="12"/>
  <c r="AK575" i="12"/>
  <c r="AB575" i="12"/>
  <c r="AF575" i="12" s="1"/>
  <c r="AC575" i="12"/>
  <c r="AJ575" i="12"/>
  <c r="R576" i="12"/>
  <c r="Q576" i="12"/>
  <c r="P577" i="12"/>
  <c r="B576" i="12"/>
  <c r="S576" i="12"/>
  <c r="A577" i="12"/>
  <c r="AI575" i="12"/>
  <c r="X576" i="12" l="1"/>
  <c r="Y576" i="12"/>
  <c r="AD575" i="12"/>
  <c r="AG575" i="12" s="1"/>
  <c r="AA576" i="12"/>
  <c r="AJ576" i="12"/>
  <c r="AK576" i="12"/>
  <c r="AB576" i="12"/>
  <c r="AF576" i="12" s="1"/>
  <c r="AC576" i="12"/>
  <c r="S577" i="12"/>
  <c r="A578" i="12"/>
  <c r="B577" i="12"/>
  <c r="R577" i="12"/>
  <c r="P578" i="12"/>
  <c r="Q577" i="12"/>
  <c r="T577" i="12"/>
  <c r="V576" i="12"/>
  <c r="W575" i="12"/>
  <c r="AI576" i="12"/>
  <c r="AD576" i="12" l="1"/>
  <c r="AG576" i="12" s="1"/>
  <c r="AI577" i="12"/>
  <c r="Y577" i="12"/>
  <c r="X577" i="12"/>
  <c r="AA577" i="12"/>
  <c r="AK577" i="12"/>
  <c r="AB577" i="12"/>
  <c r="AF577" i="12" s="1"/>
  <c r="AJ577" i="12"/>
  <c r="AC577" i="12"/>
  <c r="V577" i="12"/>
  <c r="W576" i="12"/>
  <c r="P579" i="12"/>
  <c r="R578" i="12"/>
  <c r="Q578" i="12"/>
  <c r="B578" i="12"/>
  <c r="A579" i="12"/>
  <c r="S578" i="12"/>
  <c r="T578" i="12"/>
  <c r="U578" i="12" s="1"/>
  <c r="U577" i="12"/>
  <c r="X578" i="12" l="1"/>
  <c r="Y578" i="12"/>
  <c r="V578" i="12"/>
  <c r="W577" i="12"/>
  <c r="AD577" i="12"/>
  <c r="AG577" i="12" s="1"/>
  <c r="AC578" i="12"/>
  <c r="AA578" i="12"/>
  <c r="AB578" i="12"/>
  <c r="AF578" i="12" s="1"/>
  <c r="AJ578" i="12"/>
  <c r="AK578" i="12"/>
  <c r="A580" i="12"/>
  <c r="S579" i="12"/>
  <c r="B579" i="12"/>
  <c r="T579" i="12"/>
  <c r="P580" i="12"/>
  <c r="R579" i="12"/>
  <c r="Q579" i="12"/>
  <c r="AI578" i="12"/>
  <c r="Y579" i="12" l="1"/>
  <c r="X579" i="12"/>
  <c r="R580" i="12"/>
  <c r="Q580" i="12"/>
  <c r="P581" i="12"/>
  <c r="AK579" i="12"/>
  <c r="AJ579" i="12"/>
  <c r="AC579" i="12"/>
  <c r="AA579" i="12"/>
  <c r="AB579" i="12"/>
  <c r="AF579" i="12" s="1"/>
  <c r="B580" i="12"/>
  <c r="A581" i="12"/>
  <c r="S580" i="12"/>
  <c r="T580" i="12"/>
  <c r="U580" i="12" s="1"/>
  <c r="U579" i="12"/>
  <c r="V579" i="12"/>
  <c r="W578" i="12"/>
  <c r="AD578" i="12"/>
  <c r="AG578" i="12" s="1"/>
  <c r="AI579" i="12"/>
  <c r="AI580" i="12" l="1"/>
  <c r="Y580" i="12"/>
  <c r="X580" i="12"/>
  <c r="V580" i="12"/>
  <c r="W579" i="12"/>
  <c r="T581" i="12"/>
  <c r="U581" i="12" s="1"/>
  <c r="A582" i="12"/>
  <c r="S581" i="12"/>
  <c r="B581" i="12"/>
  <c r="AD579" i="12"/>
  <c r="AG579" i="12" s="1"/>
  <c r="P582" i="12"/>
  <c r="R581" i="12"/>
  <c r="Q581" i="12"/>
  <c r="AK580" i="12"/>
  <c r="AA580" i="12"/>
  <c r="AB580" i="12"/>
  <c r="AF580" i="12" s="1"/>
  <c r="AC580" i="12"/>
  <c r="AJ580" i="12"/>
  <c r="AI581" i="12"/>
  <c r="X581" i="12" l="1"/>
  <c r="Y581" i="12"/>
  <c r="AD580" i="12"/>
  <c r="AG580" i="12" s="1"/>
  <c r="A583" i="12"/>
  <c r="S582" i="12"/>
  <c r="B582" i="12"/>
  <c r="T582" i="12"/>
  <c r="AK581" i="12"/>
  <c r="AJ581" i="12"/>
  <c r="AC581" i="12"/>
  <c r="AA581" i="12"/>
  <c r="AB581" i="12"/>
  <c r="AF581" i="12" s="1"/>
  <c r="Q582" i="12"/>
  <c r="P583" i="12"/>
  <c r="R582" i="12"/>
  <c r="V581" i="12"/>
  <c r="W580" i="12"/>
  <c r="Y582" i="12" l="1"/>
  <c r="X582" i="12"/>
  <c r="P584" i="12"/>
  <c r="R583" i="12"/>
  <c r="Q583" i="12"/>
  <c r="AD581" i="12"/>
  <c r="AG581" i="12" s="1"/>
  <c r="AB582" i="12"/>
  <c r="AF582" i="12" s="1"/>
  <c r="AA582" i="12"/>
  <c r="AC582" i="12"/>
  <c r="AK582" i="12"/>
  <c r="AJ582" i="12"/>
  <c r="W581" i="12"/>
  <c r="V582" i="12"/>
  <c r="S583" i="12"/>
  <c r="B583" i="12"/>
  <c r="A584" i="12"/>
  <c r="AI582" i="12"/>
  <c r="T583" i="12"/>
  <c r="U582" i="12"/>
  <c r="AI583" i="12" l="1"/>
  <c r="Y583" i="12"/>
  <c r="X583" i="12"/>
  <c r="AD582" i="12"/>
  <c r="AG582" i="12" s="1"/>
  <c r="T584" i="12"/>
  <c r="U584" i="12" s="1"/>
  <c r="U583" i="12"/>
  <c r="S584" i="12"/>
  <c r="A585" i="12"/>
  <c r="B584" i="12"/>
  <c r="V583" i="12"/>
  <c r="W582" i="12"/>
  <c r="AK583" i="12"/>
  <c r="AJ583" i="12"/>
  <c r="AC583" i="12"/>
  <c r="AB583" i="12"/>
  <c r="AF583" i="12" s="1"/>
  <c r="AA583" i="12"/>
  <c r="R584" i="12"/>
  <c r="Q584" i="12"/>
  <c r="P585" i="12"/>
  <c r="Y584" i="12" l="1"/>
  <c r="X584" i="12"/>
  <c r="AI584" i="12"/>
  <c r="AD583" i="12"/>
  <c r="AG583" i="12" s="1"/>
  <c r="W583" i="12"/>
  <c r="V584" i="12"/>
  <c r="AK584" i="12"/>
  <c r="AB584" i="12"/>
  <c r="AF584" i="12" s="1"/>
  <c r="AA584" i="12"/>
  <c r="AJ584" i="12"/>
  <c r="AC584" i="12"/>
  <c r="P586" i="12"/>
  <c r="R585" i="12"/>
  <c r="Q585" i="12"/>
  <c r="S585" i="12"/>
  <c r="B585" i="12"/>
  <c r="A586" i="12"/>
  <c r="T585" i="12"/>
  <c r="AI585" i="12" l="1"/>
  <c r="X585" i="12"/>
  <c r="Y585" i="12"/>
  <c r="AD584" i="12"/>
  <c r="AG584" i="12" s="1"/>
  <c r="V585" i="12"/>
  <c r="W584" i="12"/>
  <c r="S586" i="12"/>
  <c r="A587" i="12"/>
  <c r="B586" i="12"/>
  <c r="T586" i="12"/>
  <c r="U585" i="12"/>
  <c r="AJ585" i="12"/>
  <c r="AC585" i="12"/>
  <c r="AK585" i="12"/>
  <c r="AA585" i="12"/>
  <c r="AB585" i="12"/>
  <c r="AF585" i="12" s="1"/>
  <c r="P587" i="12"/>
  <c r="R586" i="12"/>
  <c r="Q586" i="12"/>
  <c r="Y586" i="12" l="1"/>
  <c r="X586" i="12"/>
  <c r="T587" i="12"/>
  <c r="U586" i="12"/>
  <c r="AD585" i="12"/>
  <c r="AG585" i="12" s="1"/>
  <c r="AK586" i="12"/>
  <c r="AB586" i="12"/>
  <c r="AF586" i="12" s="1"/>
  <c r="AA586" i="12"/>
  <c r="AJ586" i="12"/>
  <c r="AC586" i="12"/>
  <c r="AD586" i="12" s="1"/>
  <c r="AG586" i="12" s="1"/>
  <c r="P588" i="12"/>
  <c r="R587" i="12"/>
  <c r="Q587" i="12"/>
  <c r="AI587" i="12" s="1"/>
  <c r="A588" i="12"/>
  <c r="S587" i="12"/>
  <c r="B587" i="12"/>
  <c r="W585" i="12"/>
  <c r="V586" i="12"/>
  <c r="AI586" i="12"/>
  <c r="Y587" i="12" l="1"/>
  <c r="X587" i="12"/>
  <c r="V587" i="12"/>
  <c r="W586" i="12"/>
  <c r="P589" i="12"/>
  <c r="Q588" i="12"/>
  <c r="R588" i="12"/>
  <c r="AI588" i="12" s="1"/>
  <c r="T588" i="12"/>
  <c r="U588" i="12" s="1"/>
  <c r="U587" i="12"/>
  <c r="S588" i="12"/>
  <c r="A589" i="12"/>
  <c r="B588" i="12"/>
  <c r="AK587" i="12"/>
  <c r="AC587" i="12"/>
  <c r="AA587" i="12"/>
  <c r="AB587" i="12"/>
  <c r="AF587" i="12" s="1"/>
  <c r="AJ587" i="12"/>
  <c r="Y588" i="12" l="1"/>
  <c r="X588" i="12"/>
  <c r="AD587" i="12"/>
  <c r="AG587" i="12" s="1"/>
  <c r="AK588" i="12"/>
  <c r="AB588" i="12"/>
  <c r="AF588" i="12" s="1"/>
  <c r="AJ588" i="12"/>
  <c r="AC588" i="12"/>
  <c r="AA588" i="12"/>
  <c r="P590" i="12"/>
  <c r="R589" i="12"/>
  <c r="Q589" i="12"/>
  <c r="A590" i="12"/>
  <c r="S589" i="12"/>
  <c r="B589" i="12"/>
  <c r="T589" i="12"/>
  <c r="W587" i="12"/>
  <c r="V588" i="12"/>
  <c r="X589" i="12" l="1"/>
  <c r="Y589" i="12"/>
  <c r="AD588" i="12"/>
  <c r="AG588" i="12" s="1"/>
  <c r="T590" i="12"/>
  <c r="U589" i="12"/>
  <c r="P591" i="12"/>
  <c r="Q590" i="12"/>
  <c r="R590" i="12"/>
  <c r="V589" i="12"/>
  <c r="W588" i="12"/>
  <c r="S590" i="12"/>
  <c r="A591" i="12"/>
  <c r="B590" i="12"/>
  <c r="AA589" i="12"/>
  <c r="AB589" i="12"/>
  <c r="AF589" i="12" s="1"/>
  <c r="AJ589" i="12"/>
  <c r="AC589" i="12"/>
  <c r="AK589" i="12"/>
  <c r="AI589" i="12"/>
  <c r="AI590" i="12" l="1"/>
  <c r="Y590" i="12"/>
  <c r="X590" i="12"/>
  <c r="AD589" i="12"/>
  <c r="AG589" i="12" s="1"/>
  <c r="AK590" i="12"/>
  <c r="AB590" i="12"/>
  <c r="AF590" i="12" s="1"/>
  <c r="AA590" i="12"/>
  <c r="AJ590" i="12"/>
  <c r="AC590" i="12"/>
  <c r="AD590" i="12" s="1"/>
  <c r="AG590" i="12" s="1"/>
  <c r="P592" i="12"/>
  <c r="R591" i="12"/>
  <c r="Q591" i="12"/>
  <c r="T591" i="12"/>
  <c r="U590" i="12"/>
  <c r="A592" i="12"/>
  <c r="S591" i="12"/>
  <c r="B591" i="12"/>
  <c r="W589" i="12"/>
  <c r="V590" i="12"/>
  <c r="X591" i="12" l="1"/>
  <c r="Y591" i="12"/>
  <c r="T592" i="12"/>
  <c r="U592" i="12" s="1"/>
  <c r="U591" i="12"/>
  <c r="V591" i="12"/>
  <c r="W590" i="12"/>
  <c r="P593" i="12"/>
  <c r="Q592" i="12"/>
  <c r="R592" i="12"/>
  <c r="S592" i="12"/>
  <c r="A593" i="12"/>
  <c r="B592" i="12"/>
  <c r="AK591" i="12"/>
  <c r="AA591" i="12"/>
  <c r="AJ591" i="12"/>
  <c r="AB591" i="12"/>
  <c r="AF591" i="12" s="1"/>
  <c r="AC591" i="12"/>
  <c r="AI591" i="12"/>
  <c r="AD591" i="12" l="1"/>
  <c r="AG591" i="12" s="1"/>
  <c r="Y592" i="12"/>
  <c r="X592" i="12"/>
  <c r="AI592" i="12"/>
  <c r="AK592" i="12"/>
  <c r="AB592" i="12"/>
  <c r="AF592" i="12" s="1"/>
  <c r="AC592" i="12"/>
  <c r="AA592" i="12"/>
  <c r="AJ592" i="12"/>
  <c r="A594" i="12"/>
  <c r="S593" i="12"/>
  <c r="B593" i="12"/>
  <c r="W591" i="12"/>
  <c r="V592" i="12"/>
  <c r="P594" i="12"/>
  <c r="R593" i="12"/>
  <c r="Q593" i="12"/>
  <c r="T593" i="12"/>
  <c r="X593" i="12" l="1"/>
  <c r="Y593" i="12"/>
  <c r="AD592" i="12"/>
  <c r="AG592" i="12" s="1"/>
  <c r="AK593" i="12"/>
  <c r="AA593" i="12"/>
  <c r="AB593" i="12"/>
  <c r="AF593" i="12" s="1"/>
  <c r="AJ593" i="12"/>
  <c r="AC593" i="12"/>
  <c r="AD593" i="12" s="1"/>
  <c r="AG593" i="12" s="1"/>
  <c r="Q594" i="12"/>
  <c r="P595" i="12"/>
  <c r="R594" i="12"/>
  <c r="V593" i="12"/>
  <c r="W592" i="12"/>
  <c r="T594" i="12"/>
  <c r="U593" i="12"/>
  <c r="AI593" i="12"/>
  <c r="A595" i="12"/>
  <c r="S594" i="12"/>
  <c r="B594" i="12"/>
  <c r="AI594" i="12" l="1"/>
  <c r="Y594" i="12"/>
  <c r="X594" i="12"/>
  <c r="T595" i="12"/>
  <c r="W593" i="12"/>
  <c r="V594" i="12"/>
  <c r="A596" i="12"/>
  <c r="S595" i="12"/>
  <c r="B595" i="12"/>
  <c r="U594" i="12"/>
  <c r="AB594" i="12"/>
  <c r="AF594" i="12" s="1"/>
  <c r="AK594" i="12"/>
  <c r="AA594" i="12"/>
  <c r="AC594" i="12"/>
  <c r="AJ594" i="12"/>
  <c r="U595" i="12"/>
  <c r="Q595" i="12"/>
  <c r="P596" i="12"/>
  <c r="R595" i="12"/>
  <c r="Y595" i="12" l="1"/>
  <c r="X595" i="12"/>
  <c r="AI595" i="12"/>
  <c r="AD594" i="12"/>
  <c r="AG594" i="12" s="1"/>
  <c r="R596" i="12"/>
  <c r="Q596" i="12"/>
  <c r="P597" i="12"/>
  <c r="B596" i="12"/>
  <c r="A597" i="12"/>
  <c r="S596" i="12"/>
  <c r="AB595" i="12"/>
  <c r="AF595" i="12" s="1"/>
  <c r="AA595" i="12"/>
  <c r="AK595" i="12"/>
  <c r="AJ595" i="12"/>
  <c r="AC595" i="12"/>
  <c r="AD595" i="12" s="1"/>
  <c r="AG595" i="12" s="1"/>
  <c r="W594" i="12"/>
  <c r="V595" i="12"/>
  <c r="T596" i="12"/>
  <c r="Y596" i="12" l="1"/>
  <c r="X596" i="12"/>
  <c r="P598" i="12"/>
  <c r="R597" i="12"/>
  <c r="Q597" i="12"/>
  <c r="V596" i="12"/>
  <c r="W595" i="12"/>
  <c r="S597" i="12"/>
  <c r="B597" i="12"/>
  <c r="A598" i="12"/>
  <c r="AB596" i="12"/>
  <c r="AF596" i="12" s="1"/>
  <c r="AJ596" i="12"/>
  <c r="AC596" i="12"/>
  <c r="AA596" i="12"/>
  <c r="AK596" i="12"/>
  <c r="T597" i="12"/>
  <c r="U597" i="12" s="1"/>
  <c r="U596" i="12"/>
  <c r="AI596" i="12"/>
  <c r="AI597" i="12" l="1"/>
  <c r="X597" i="12"/>
  <c r="Y597" i="12"/>
  <c r="AB597" i="12"/>
  <c r="AF597" i="12" s="1"/>
  <c r="AK597" i="12"/>
  <c r="AJ597" i="12"/>
  <c r="AC597" i="12"/>
  <c r="AA597" i="12"/>
  <c r="T598" i="12"/>
  <c r="AD596" i="12"/>
  <c r="AG596" i="12" s="1"/>
  <c r="P599" i="12"/>
  <c r="R598" i="12"/>
  <c r="Q598" i="12"/>
  <c r="A599" i="12"/>
  <c r="S598" i="12"/>
  <c r="B598" i="12"/>
  <c r="V597" i="12"/>
  <c r="W596" i="12"/>
  <c r="AD597" i="12" l="1"/>
  <c r="AG597" i="12" s="1"/>
  <c r="Y598" i="12"/>
  <c r="X598" i="12"/>
  <c r="T599" i="12"/>
  <c r="U599" i="12" s="1"/>
  <c r="U598" i="12"/>
  <c r="AB598" i="12"/>
  <c r="AF598" i="12" s="1"/>
  <c r="AK598" i="12"/>
  <c r="AJ598" i="12"/>
  <c r="AC598" i="12"/>
  <c r="AA598" i="12"/>
  <c r="W597" i="12"/>
  <c r="V598" i="12"/>
  <c r="S599" i="12"/>
  <c r="A600" i="12"/>
  <c r="B599" i="12"/>
  <c r="P600" i="12"/>
  <c r="Q599" i="12"/>
  <c r="R599" i="12"/>
  <c r="AI598" i="12"/>
  <c r="X599" i="12" l="1"/>
  <c r="Y599" i="12"/>
  <c r="AD598" i="12"/>
  <c r="AG598" i="12" s="1"/>
  <c r="A601" i="12"/>
  <c r="S600" i="12"/>
  <c r="B600" i="12"/>
  <c r="P601" i="12"/>
  <c r="R600" i="12"/>
  <c r="Q600" i="12"/>
  <c r="T600" i="12"/>
  <c r="AK599" i="12"/>
  <c r="AB599" i="12"/>
  <c r="AF599" i="12" s="1"/>
  <c r="AA599" i="12"/>
  <c r="AJ599" i="12"/>
  <c r="AC599" i="12"/>
  <c r="AD599" i="12" s="1"/>
  <c r="AG599" i="12" s="1"/>
  <c r="W598" i="12"/>
  <c r="V599" i="12"/>
  <c r="AI599" i="12"/>
  <c r="Y600" i="12" l="1"/>
  <c r="X600" i="12"/>
  <c r="V600" i="12"/>
  <c r="W599" i="12"/>
  <c r="T601" i="12"/>
  <c r="U600" i="12"/>
  <c r="P602" i="12"/>
  <c r="Q601" i="12"/>
  <c r="R601" i="12"/>
  <c r="S601" i="12"/>
  <c r="A602" i="12"/>
  <c r="B601" i="12"/>
  <c r="AC600" i="12"/>
  <c r="AA600" i="12"/>
  <c r="AK600" i="12"/>
  <c r="AJ600" i="12"/>
  <c r="AB600" i="12"/>
  <c r="AF600" i="12" s="1"/>
  <c r="AI600" i="12"/>
  <c r="X601" i="12" l="1"/>
  <c r="Y601" i="12"/>
  <c r="AI601" i="12"/>
  <c r="P603" i="12"/>
  <c r="R602" i="12"/>
  <c r="Q602" i="12"/>
  <c r="T602" i="12"/>
  <c r="U602" i="12" s="1"/>
  <c r="U601" i="12"/>
  <c r="AD600" i="12"/>
  <c r="AG600" i="12" s="1"/>
  <c r="AK601" i="12"/>
  <c r="AB601" i="12"/>
  <c r="AF601" i="12" s="1"/>
  <c r="AJ601" i="12"/>
  <c r="AC601" i="12"/>
  <c r="AA601" i="12"/>
  <c r="A603" i="12"/>
  <c r="S602" i="12"/>
  <c r="B602" i="12"/>
  <c r="W600" i="12"/>
  <c r="V601" i="12"/>
  <c r="AD601" i="12" l="1"/>
  <c r="AG601" i="12" s="1"/>
  <c r="AI602" i="12"/>
  <c r="X602" i="12"/>
  <c r="Y602" i="12"/>
  <c r="V602" i="12"/>
  <c r="W601" i="12"/>
  <c r="S603" i="12"/>
  <c r="A604" i="12"/>
  <c r="B603" i="12"/>
  <c r="AK602" i="12"/>
  <c r="AB602" i="12"/>
  <c r="AF602" i="12" s="1"/>
  <c r="AJ602" i="12"/>
  <c r="AC602" i="12"/>
  <c r="AA602" i="12"/>
  <c r="T603" i="12"/>
  <c r="P604" i="12"/>
  <c r="Q603" i="12"/>
  <c r="R603" i="12"/>
  <c r="X603" i="12" l="1"/>
  <c r="Y603" i="12"/>
  <c r="AI603" i="12"/>
  <c r="AD602" i="12"/>
  <c r="AG602" i="12" s="1"/>
  <c r="P605" i="12"/>
  <c r="R604" i="12"/>
  <c r="Q604" i="12"/>
  <c r="AK603" i="12"/>
  <c r="AB603" i="12"/>
  <c r="AF603" i="12" s="1"/>
  <c r="AJ603" i="12"/>
  <c r="AC603" i="12"/>
  <c r="AA603" i="12"/>
  <c r="T604" i="12"/>
  <c r="U603" i="12"/>
  <c r="A605" i="12"/>
  <c r="S604" i="12"/>
  <c r="B604" i="12"/>
  <c r="W602" i="12"/>
  <c r="V603" i="12"/>
  <c r="AD603" i="12" l="1"/>
  <c r="AG603" i="12" s="1"/>
  <c r="X604" i="12"/>
  <c r="Y604" i="12"/>
  <c r="AI604" i="12"/>
  <c r="T605" i="12"/>
  <c r="U604" i="12"/>
  <c r="S605" i="12"/>
  <c r="A606" i="12"/>
  <c r="B605" i="12"/>
  <c r="AJ604" i="12"/>
  <c r="AB604" i="12"/>
  <c r="AF604" i="12" s="1"/>
  <c r="AC604" i="12"/>
  <c r="AA604" i="12"/>
  <c r="AK604" i="12"/>
  <c r="C112" i="3"/>
  <c r="I26" i="3"/>
  <c r="K90" i="3"/>
  <c r="F89" i="6" s="1"/>
  <c r="D42" i="3"/>
  <c r="C82" i="3"/>
  <c r="E34" i="3"/>
  <c r="F111" i="3"/>
  <c r="K14" i="3"/>
  <c r="F13" i="6" s="1"/>
  <c r="F40" i="3"/>
  <c r="G18" i="3"/>
  <c r="J17" i="6" s="1"/>
  <c r="K101" i="3"/>
  <c r="F100" i="6" s="1"/>
  <c r="G36" i="3"/>
  <c r="J35" i="6" s="1"/>
  <c r="E68" i="3"/>
  <c r="G15" i="3"/>
  <c r="J14" i="6" s="1"/>
  <c r="D52" i="3"/>
  <c r="C95" i="3"/>
  <c r="D68" i="3"/>
  <c r="F19" i="3"/>
  <c r="C29" i="3"/>
  <c r="C74" i="3"/>
  <c r="E24" i="3"/>
  <c r="F95" i="3"/>
  <c r="D87" i="3"/>
  <c r="E113" i="3"/>
  <c r="E11" i="3"/>
  <c r="K93" i="3"/>
  <c r="F92" i="6" s="1"/>
  <c r="D27" i="3"/>
  <c r="F33" i="3"/>
  <c r="C38" i="3"/>
  <c r="E84" i="3"/>
  <c r="K31" i="3"/>
  <c r="F30" i="6" s="1"/>
  <c r="I107" i="3"/>
  <c r="G111" i="3"/>
  <c r="J110" i="6" s="1"/>
  <c r="D70" i="3"/>
  <c r="C70" i="3"/>
  <c r="I65" i="3"/>
  <c r="G48" i="3"/>
  <c r="J47" i="6" s="1"/>
  <c r="K25" i="3"/>
  <c r="F24" i="6" s="1"/>
  <c r="K35" i="3"/>
  <c r="F34" i="6" s="1"/>
  <c r="C87" i="3"/>
  <c r="I43" i="3"/>
  <c r="G51" i="3"/>
  <c r="J50" i="6" s="1"/>
  <c r="K19" i="3"/>
  <c r="F18" i="6" s="1"/>
  <c r="F90" i="3"/>
  <c r="K30" i="3"/>
  <c r="F29" i="6" s="1"/>
  <c r="K108" i="3"/>
  <c r="F107" i="6" s="1"/>
  <c r="D13" i="3"/>
  <c r="E73" i="3"/>
  <c r="F84" i="3"/>
  <c r="F82" i="3"/>
  <c r="D77" i="3"/>
  <c r="F103" i="3"/>
  <c r="I44" i="3"/>
  <c r="F48" i="3"/>
  <c r="F30" i="3"/>
  <c r="K81" i="3"/>
  <c r="F80" i="6" s="1"/>
  <c r="K41" i="3"/>
  <c r="F40" i="6" s="1"/>
  <c r="D109" i="3"/>
  <c r="C103" i="3"/>
  <c r="D100" i="3"/>
  <c r="G67" i="3"/>
  <c r="J66" i="6" s="1"/>
  <c r="C39" i="3"/>
  <c r="G63" i="3"/>
  <c r="J62" i="6" s="1"/>
  <c r="I33" i="3"/>
  <c r="C54" i="3"/>
  <c r="D32" i="3"/>
  <c r="F87" i="3"/>
  <c r="C34" i="3"/>
  <c r="F32" i="3"/>
  <c r="E45" i="3"/>
  <c r="K73" i="3"/>
  <c r="F72" i="6" s="1"/>
  <c r="D31" i="3"/>
  <c r="D90" i="3"/>
  <c r="C23" i="3"/>
  <c r="E88" i="3"/>
  <c r="G11" i="3"/>
  <c r="J10" i="6" s="1"/>
  <c r="K50" i="3"/>
  <c r="F49" i="6" s="1"/>
  <c r="G83" i="3"/>
  <c r="J82" i="6" s="1"/>
  <c r="I95" i="3"/>
  <c r="C66" i="3"/>
  <c r="E16" i="3"/>
  <c r="F79" i="3"/>
  <c r="D55" i="3"/>
  <c r="E105" i="3"/>
  <c r="G106" i="3"/>
  <c r="J105" i="6" s="1"/>
  <c r="E38" i="3"/>
  <c r="G55" i="3"/>
  <c r="J54" i="6" s="1"/>
  <c r="K23" i="3"/>
  <c r="F22" i="6" s="1"/>
  <c r="F50" i="3"/>
  <c r="C36" i="3"/>
  <c r="K104" i="3"/>
  <c r="F103" i="6" s="1"/>
  <c r="D43" i="3"/>
  <c r="E77" i="3"/>
  <c r="I92" i="3"/>
  <c r="K22" i="3"/>
  <c r="F21" i="6" s="1"/>
  <c r="K100" i="3"/>
  <c r="F99" i="6" s="1"/>
  <c r="E39" i="3"/>
  <c r="F56" i="3"/>
  <c r="K43" i="3"/>
  <c r="F42" i="6" s="1"/>
  <c r="K77" i="3"/>
  <c r="F76" i="6" s="1"/>
  <c r="C11" i="3"/>
  <c r="D113" i="3"/>
  <c r="C107" i="3"/>
  <c r="I93" i="3"/>
  <c r="G71" i="3"/>
  <c r="J70" i="6" s="1"/>
  <c r="I47" i="3"/>
  <c r="D71" i="3"/>
  <c r="D75" i="3"/>
  <c r="C50" i="3"/>
  <c r="G37" i="3"/>
  <c r="J36" i="6" s="1"/>
  <c r="F47" i="3"/>
  <c r="E29" i="3"/>
  <c r="E89" i="3"/>
  <c r="F13" i="3"/>
  <c r="K69" i="3"/>
  <c r="F68" i="6" s="1"/>
  <c r="G110" i="3"/>
  <c r="J109" i="6" s="1"/>
  <c r="D105" i="3"/>
  <c r="C99" i="3"/>
  <c r="I61" i="3"/>
  <c r="F20" i="3"/>
  <c r="I115" i="3"/>
  <c r="G87" i="3"/>
  <c r="J86" i="6" s="1"/>
  <c r="C25" i="3"/>
  <c r="F114" i="3"/>
  <c r="E20" i="3"/>
  <c r="F71" i="3"/>
  <c r="E25" i="3"/>
  <c r="E109" i="3"/>
  <c r="I100" i="3"/>
  <c r="D17" i="3"/>
  <c r="E27" i="3"/>
  <c r="C46" i="3"/>
  <c r="F42" i="3"/>
  <c r="E49" i="3"/>
  <c r="C116" i="3"/>
  <c r="G70" i="3"/>
  <c r="J69" i="6" s="1"/>
  <c r="I24" i="3"/>
  <c r="C79" i="3"/>
  <c r="F74" i="3"/>
  <c r="F39" i="3"/>
  <c r="K49" i="3"/>
  <c r="F48" i="6" s="1"/>
  <c r="F24" i="3"/>
  <c r="G31" i="3"/>
  <c r="J30" i="6" s="1"/>
  <c r="D21" i="3"/>
  <c r="G102" i="3"/>
  <c r="J101" i="6" s="1"/>
  <c r="K80" i="3"/>
  <c r="F79" i="6" s="1"/>
  <c r="I31" i="3"/>
  <c r="F110" i="3"/>
  <c r="C91" i="3"/>
  <c r="C108" i="3"/>
  <c r="K53" i="3"/>
  <c r="F52" i="6" s="1"/>
  <c r="C19" i="3"/>
  <c r="I45" i="3"/>
  <c r="C83" i="3"/>
  <c r="D89" i="3"/>
  <c r="G47" i="3"/>
  <c r="J46" i="6" s="1"/>
  <c r="K15" i="3"/>
  <c r="F14" i="6" s="1"/>
  <c r="F34" i="3"/>
  <c r="K26" i="3"/>
  <c r="F25" i="6" s="1"/>
  <c r="K96" i="3"/>
  <c r="F95" i="6" s="1"/>
  <c r="I105" i="3"/>
  <c r="K68" i="3"/>
  <c r="F67" i="6" s="1"/>
  <c r="I82" i="3"/>
  <c r="E97" i="3"/>
  <c r="D41" i="3"/>
  <c r="I114" i="3"/>
  <c r="G86" i="3"/>
  <c r="J85" i="6" s="1"/>
  <c r="C35" i="3"/>
  <c r="C75" i="3"/>
  <c r="I21" i="3"/>
  <c r="F101" i="3"/>
  <c r="D91" i="3"/>
  <c r="E78" i="3"/>
  <c r="K36" i="3"/>
  <c r="F35" i="6" s="1"/>
  <c r="F66" i="3"/>
  <c r="I46" i="3"/>
  <c r="K112" i="3"/>
  <c r="F111" i="6" s="1"/>
  <c r="I66" i="3"/>
  <c r="E85" i="3"/>
  <c r="I42" i="3"/>
  <c r="I110" i="3"/>
  <c r="G114" i="3"/>
  <c r="J113" i="6" s="1"/>
  <c r="I99" i="3"/>
  <c r="K33" i="3"/>
  <c r="F32" i="6" s="1"/>
  <c r="I14" i="3"/>
  <c r="K60" i="3"/>
  <c r="F59" i="6" s="1"/>
  <c r="C12" i="3"/>
  <c r="D62" i="3"/>
  <c r="C92" i="3"/>
  <c r="G27" i="3"/>
  <c r="J26" i="6" s="1"/>
  <c r="F115" i="3"/>
  <c r="F25" i="3"/>
  <c r="F92" i="3"/>
  <c r="K111" i="3"/>
  <c r="F110" i="6" s="1"/>
  <c r="F22" i="3"/>
  <c r="G74" i="3"/>
  <c r="J73" i="6" s="1"/>
  <c r="D58" i="3"/>
  <c r="C55" i="3"/>
  <c r="K46" i="3"/>
  <c r="F45" i="6" s="1"/>
  <c r="F61" i="3"/>
  <c r="E35" i="3"/>
  <c r="E114" i="3"/>
  <c r="I56" i="3"/>
  <c r="K76" i="3"/>
  <c r="F75" i="6" s="1"/>
  <c r="D28" i="3"/>
  <c r="D110" i="3"/>
  <c r="G113" i="3"/>
  <c r="J112" i="6" s="1"/>
  <c r="D106" i="3"/>
  <c r="G22" i="3"/>
  <c r="J21" i="6" s="1"/>
  <c r="D64" i="3"/>
  <c r="G98" i="3"/>
  <c r="J97" i="6" s="1"/>
  <c r="G43" i="3"/>
  <c r="J42" i="6" s="1"/>
  <c r="I116" i="3"/>
  <c r="E23" i="3"/>
  <c r="F45" i="3"/>
  <c r="E26" i="3"/>
  <c r="E106" i="3"/>
  <c r="K39" i="3"/>
  <c r="F38" i="6" s="1"/>
  <c r="F58" i="3"/>
  <c r="D61" i="3"/>
  <c r="K92" i="3"/>
  <c r="F91" i="6" s="1"/>
  <c r="I50" i="3"/>
  <c r="E57" i="3"/>
  <c r="F16" i="3"/>
  <c r="I106" i="3"/>
  <c r="G78" i="3"/>
  <c r="J77" i="6" s="1"/>
  <c r="C26" i="3"/>
  <c r="C67" i="3"/>
  <c r="G38" i="3"/>
  <c r="J37" i="6" s="1"/>
  <c r="D101" i="3"/>
  <c r="G105" i="3"/>
  <c r="J104" i="6" s="1"/>
  <c r="D78" i="3"/>
  <c r="C64" i="3"/>
  <c r="G45" i="3"/>
  <c r="J44" i="6" s="1"/>
  <c r="G58" i="3"/>
  <c r="J57" i="6" s="1"/>
  <c r="E47" i="3"/>
  <c r="F36" i="3"/>
  <c r="K27" i="3"/>
  <c r="F26" i="6" s="1"/>
  <c r="K83" i="3"/>
  <c r="F82" i="6" s="1"/>
  <c r="K56" i="3"/>
  <c r="F55" i="6" s="1"/>
  <c r="K16" i="3"/>
  <c r="F15" i="6" s="1"/>
  <c r="C59" i="3"/>
  <c r="G41" i="3"/>
  <c r="J40" i="6" s="1"/>
  <c r="F69" i="3"/>
  <c r="I40" i="3"/>
  <c r="E94" i="3"/>
  <c r="I72" i="3"/>
  <c r="K72" i="3"/>
  <c r="F71" i="6" s="1"/>
  <c r="F11" i="3"/>
  <c r="J10" i="5" s="1"/>
  <c r="D114" i="3"/>
  <c r="C80" i="3"/>
  <c r="F64" i="3"/>
  <c r="C76" i="3"/>
  <c r="D48" i="3"/>
  <c r="G94" i="3"/>
  <c r="J93" i="6" s="1"/>
  <c r="I51" i="3"/>
  <c r="C51" i="3"/>
  <c r="D49" i="3"/>
  <c r="F53" i="3"/>
  <c r="E30" i="3"/>
  <c r="E86" i="3"/>
  <c r="D45" i="3"/>
  <c r="K64" i="3"/>
  <c r="F63" i="6" s="1"/>
  <c r="G52" i="3"/>
  <c r="J51" i="6" s="1"/>
  <c r="K88" i="3"/>
  <c r="F87" i="6" s="1"/>
  <c r="C24" i="3"/>
  <c r="E61" i="3"/>
  <c r="C96" i="3"/>
  <c r="E42" i="3"/>
  <c r="G90" i="3"/>
  <c r="J89" i="6" s="1"/>
  <c r="K32" i="3"/>
  <c r="F31" i="6" s="1"/>
  <c r="F100" i="3"/>
  <c r="C40" i="3"/>
  <c r="K115" i="3"/>
  <c r="F114" i="6" s="1"/>
  <c r="C14" i="3"/>
  <c r="D94" i="3"/>
  <c r="C68" i="3"/>
  <c r="D40" i="3"/>
  <c r="F67" i="3"/>
  <c r="D63" i="3"/>
  <c r="F44" i="3"/>
  <c r="I68" i="3"/>
  <c r="K87" i="3"/>
  <c r="F86" i="6" s="1"/>
  <c r="D39" i="3"/>
  <c r="F27" i="3"/>
  <c r="E111" i="3"/>
  <c r="G46" i="3"/>
  <c r="J45" i="6" s="1"/>
  <c r="F77" i="3"/>
  <c r="I102" i="3"/>
  <c r="E90" i="3"/>
  <c r="G21" i="3"/>
  <c r="J20" i="6" s="1"/>
  <c r="K52" i="3"/>
  <c r="F51" i="6" s="1"/>
  <c r="G116" i="3"/>
  <c r="J115" i="6" s="1"/>
  <c r="I41" i="3"/>
  <c r="C84" i="3"/>
  <c r="I89" i="3"/>
  <c r="F99" i="3"/>
  <c r="E22" i="3"/>
  <c r="F107" i="3"/>
  <c r="I67" i="3"/>
  <c r="F68" i="3"/>
  <c r="G20" i="3"/>
  <c r="J19" i="6" s="1"/>
  <c r="K99" i="3"/>
  <c r="F98" i="6" s="1"/>
  <c r="I70" i="3"/>
  <c r="E82" i="3"/>
  <c r="G13" i="3"/>
  <c r="J12" i="6" s="1"/>
  <c r="I113" i="3"/>
  <c r="G109" i="3"/>
  <c r="J108" i="6" s="1"/>
  <c r="C31" i="3"/>
  <c r="C20" i="3"/>
  <c r="E65" i="3"/>
  <c r="C100" i="3"/>
  <c r="C37" i="3"/>
  <c r="G54" i="3"/>
  <c r="J53" i="6" s="1"/>
  <c r="D38" i="3"/>
  <c r="F108" i="3"/>
  <c r="I11" i="3"/>
  <c r="F37" i="3"/>
  <c r="D22" i="3"/>
  <c r="D116" i="3"/>
  <c r="G72" i="3"/>
  <c r="J71" i="6" s="1"/>
  <c r="E14" i="3"/>
  <c r="F91" i="3"/>
  <c r="D19" i="3"/>
  <c r="E95" i="3"/>
  <c r="D73" i="3"/>
  <c r="K59" i="3"/>
  <c r="F58" i="6" s="1"/>
  <c r="F15" i="3"/>
  <c r="D111" i="3"/>
  <c r="C89" i="3"/>
  <c r="I49" i="3"/>
  <c r="C115" i="3"/>
  <c r="G79" i="3"/>
  <c r="J78" i="6" s="1"/>
  <c r="F98" i="3"/>
  <c r="K37" i="3"/>
  <c r="F36" i="6" s="1"/>
  <c r="G32" i="3"/>
  <c r="J31" i="6" s="1"/>
  <c r="C15" i="3"/>
  <c r="F109" i="3"/>
  <c r="E110" i="3"/>
  <c r="E93" i="3"/>
  <c r="F18" i="3"/>
  <c r="F93" i="3"/>
  <c r="F106" i="3"/>
  <c r="E81" i="3"/>
  <c r="E98" i="3"/>
  <c r="C16" i="3"/>
  <c r="G82" i="3"/>
  <c r="J81" i="6" s="1"/>
  <c r="G49" i="3"/>
  <c r="J48" i="6" s="1"/>
  <c r="G59" i="3"/>
  <c r="J58" i="6" s="1"/>
  <c r="K79" i="3"/>
  <c r="F78" i="6" s="1"/>
  <c r="D14" i="3"/>
  <c r="E70" i="3"/>
  <c r="I25" i="3"/>
  <c r="K48" i="3"/>
  <c r="F47" i="6" s="1"/>
  <c r="G97" i="3"/>
  <c r="J96" i="6" s="1"/>
  <c r="C47" i="3"/>
  <c r="C56" i="3"/>
  <c r="K34" i="3"/>
  <c r="F33" i="6" s="1"/>
  <c r="G50" i="3"/>
  <c r="J49" i="6" s="1"/>
  <c r="I36" i="3"/>
  <c r="D96" i="3"/>
  <c r="E31" i="3"/>
  <c r="F76" i="3"/>
  <c r="G33" i="3"/>
  <c r="J32" i="6" s="1"/>
  <c r="K103" i="3"/>
  <c r="F102" i="6" s="1"/>
  <c r="I86" i="3"/>
  <c r="E62" i="3"/>
  <c r="G17" i="3"/>
  <c r="J16" i="6" s="1"/>
  <c r="I109" i="3"/>
  <c r="G89" i="3"/>
  <c r="J88" i="6" s="1"/>
  <c r="E36" i="3"/>
  <c r="C48" i="3"/>
  <c r="G34" i="3"/>
  <c r="J33" i="6" s="1"/>
  <c r="C104" i="3"/>
  <c r="I73" i="3"/>
  <c r="G66" i="3"/>
  <c r="J65" i="6" s="1"/>
  <c r="D79" i="3"/>
  <c r="F52" i="3"/>
  <c r="E13" i="3"/>
  <c r="K91" i="3"/>
  <c r="F90" i="6" s="1"/>
  <c r="G44" i="3"/>
  <c r="J43" i="6" s="1"/>
  <c r="E74" i="3"/>
  <c r="F12" i="3"/>
  <c r="E101" i="3"/>
  <c r="F83" i="3"/>
  <c r="D23" i="3"/>
  <c r="E99" i="3"/>
  <c r="C32" i="3"/>
  <c r="K63" i="3"/>
  <c r="F62" i="6" s="1"/>
  <c r="C13" i="3"/>
  <c r="D50" i="3"/>
  <c r="C93" i="3"/>
  <c r="I101" i="3"/>
  <c r="C94" i="3"/>
  <c r="C114" i="3"/>
  <c r="K116" i="3"/>
  <c r="F115" i="6" s="1"/>
  <c r="E66" i="3"/>
  <c r="I29" i="3"/>
  <c r="D76" i="3"/>
  <c r="G93" i="3"/>
  <c r="J92" i="6" s="1"/>
  <c r="I71" i="3"/>
  <c r="C60" i="3"/>
  <c r="F28" i="3"/>
  <c r="F51" i="3"/>
  <c r="C42" i="3"/>
  <c r="E115" i="3"/>
  <c r="G16" i="3"/>
  <c r="J15" i="6" s="1"/>
  <c r="E79" i="3"/>
  <c r="D33" i="3"/>
  <c r="K107" i="3"/>
  <c r="F106" i="6" s="1"/>
  <c r="D25" i="3"/>
  <c r="E58" i="3"/>
  <c r="C105" i="3"/>
  <c r="E46" i="3"/>
  <c r="G85" i="3"/>
  <c r="J84" i="6" s="1"/>
  <c r="K44" i="3"/>
  <c r="F43" i="6" s="1"/>
  <c r="C52" i="3"/>
  <c r="E18" i="3"/>
  <c r="F35" i="3"/>
  <c r="I57" i="3"/>
  <c r="G62" i="3"/>
  <c r="J61" i="6" s="1"/>
  <c r="D95" i="3"/>
  <c r="F60" i="3"/>
  <c r="I34" i="3"/>
  <c r="K95" i="3"/>
  <c r="F94" i="6" s="1"/>
  <c r="I54" i="3"/>
  <c r="E54" i="3"/>
  <c r="F17" i="3"/>
  <c r="D92" i="3"/>
  <c r="I39" i="3"/>
  <c r="E56" i="3"/>
  <c r="E71" i="3"/>
  <c r="K38" i="3"/>
  <c r="F37" i="6" s="1"/>
  <c r="D104" i="3"/>
  <c r="G100" i="3"/>
  <c r="J99" i="6" s="1"/>
  <c r="C43" i="3"/>
  <c r="C65" i="3"/>
  <c r="D36" i="3"/>
  <c r="F113" i="3"/>
  <c r="D51" i="3"/>
  <c r="I37" i="3"/>
  <c r="C85" i="3"/>
  <c r="D60" i="3"/>
  <c r="G73" i="3"/>
  <c r="J72" i="6" s="1"/>
  <c r="I87" i="3"/>
  <c r="F86" i="3"/>
  <c r="D85" i="3"/>
  <c r="F75" i="3"/>
  <c r="D11" i="3"/>
  <c r="E87" i="3"/>
  <c r="I17" i="3"/>
  <c r="K51" i="3"/>
  <c r="F50" i="6" s="1"/>
  <c r="G26" i="3"/>
  <c r="J25" i="6" s="1"/>
  <c r="K47" i="3"/>
  <c r="F46" i="6" s="1"/>
  <c r="D29" i="3"/>
  <c r="D107" i="3"/>
  <c r="C109" i="3"/>
  <c r="C41" i="3"/>
  <c r="G65" i="3"/>
  <c r="J64" i="6" s="1"/>
  <c r="I55" i="3"/>
  <c r="F70" i="3"/>
  <c r="D53" i="3"/>
  <c r="F59" i="3"/>
  <c r="I74" i="3"/>
  <c r="F43" i="3"/>
  <c r="K12" i="3"/>
  <c r="F11" i="6" s="1"/>
  <c r="E103" i="3"/>
  <c r="F21" i="3"/>
  <c r="K67" i="3"/>
  <c r="F66" i="6" s="1"/>
  <c r="C17" i="3"/>
  <c r="E50" i="3"/>
  <c r="C97" i="3"/>
  <c r="I35" i="3"/>
  <c r="G77" i="3"/>
  <c r="J76" i="6" s="1"/>
  <c r="D34" i="3"/>
  <c r="I84" i="3"/>
  <c r="E17" i="3"/>
  <c r="I108" i="3"/>
  <c r="G96" i="3"/>
  <c r="J95" i="6" s="1"/>
  <c r="I91" i="3"/>
  <c r="C69" i="3"/>
  <c r="E15" i="3"/>
  <c r="F73" i="3"/>
  <c r="D67" i="3"/>
  <c r="E96" i="3"/>
  <c r="D18" i="3"/>
  <c r="K85" i="3"/>
  <c r="F84" i="6" s="1"/>
  <c r="D57" i="3"/>
  <c r="G69" i="3"/>
  <c r="J68" i="6" s="1"/>
  <c r="I103" i="3"/>
  <c r="F94" i="3"/>
  <c r="D69" i="3"/>
  <c r="K102" i="3"/>
  <c r="F101" i="6" s="1"/>
  <c r="D15" i="3"/>
  <c r="E91" i="3"/>
  <c r="I60" i="3"/>
  <c r="K55" i="3"/>
  <c r="F54" i="6" s="1"/>
  <c r="G112" i="3"/>
  <c r="J111" i="6" s="1"/>
  <c r="C63" i="3"/>
  <c r="G84" i="3"/>
  <c r="J83" i="6" s="1"/>
  <c r="D98" i="3"/>
  <c r="C113" i="3"/>
  <c r="I85" i="3"/>
  <c r="G61" i="3"/>
  <c r="J60" i="6" s="1"/>
  <c r="K13" i="3"/>
  <c r="F12" i="6" s="1"/>
  <c r="F78" i="3"/>
  <c r="C44" i="3"/>
  <c r="K94" i="3"/>
  <c r="F93" i="6" s="1"/>
  <c r="I90" i="3"/>
  <c r="E83" i="3"/>
  <c r="G14" i="3"/>
  <c r="J13" i="6" s="1"/>
  <c r="E107" i="3"/>
  <c r="E19" i="3"/>
  <c r="K71" i="3"/>
  <c r="F70" i="6" s="1"/>
  <c r="C21" i="3"/>
  <c r="D82" i="3"/>
  <c r="C101" i="3"/>
  <c r="G30" i="3"/>
  <c r="J29" i="6" s="1"/>
  <c r="G57" i="3"/>
  <c r="J56" i="6" s="1"/>
  <c r="G39" i="3"/>
  <c r="J38" i="6" s="1"/>
  <c r="F54" i="3"/>
  <c r="I80" i="3"/>
  <c r="I112" i="3"/>
  <c r="G76" i="3"/>
  <c r="J75" i="6" s="1"/>
  <c r="I75" i="3"/>
  <c r="F104" i="3"/>
  <c r="I28" i="3"/>
  <c r="F65" i="3"/>
  <c r="D20" i="3"/>
  <c r="E100" i="3"/>
  <c r="I64" i="3"/>
  <c r="K54" i="3"/>
  <c r="F53" i="6" s="1"/>
  <c r="C90" i="3"/>
  <c r="I78" i="3"/>
  <c r="G28" i="3"/>
  <c r="J27" i="6" s="1"/>
  <c r="E12" i="3"/>
  <c r="K84" i="3"/>
  <c r="F83" i="6" s="1"/>
  <c r="F46" i="3"/>
  <c r="K57" i="3"/>
  <c r="F56" i="6" s="1"/>
  <c r="C33" i="3"/>
  <c r="I22" i="3"/>
  <c r="I98" i="3"/>
  <c r="C30" i="3"/>
  <c r="I77" i="3"/>
  <c r="E41" i="3"/>
  <c r="K61" i="3"/>
  <c r="F60" i="6" s="1"/>
  <c r="I104" i="3"/>
  <c r="C88" i="3"/>
  <c r="I83" i="3"/>
  <c r="F57" i="3"/>
  <c r="E43" i="3"/>
  <c r="F102" i="3"/>
  <c r="K28" i="3"/>
  <c r="F27" i="6" s="1"/>
  <c r="K114" i="3"/>
  <c r="F113" i="6" s="1"/>
  <c r="D35" i="3"/>
  <c r="E63" i="3"/>
  <c r="D65" i="3"/>
  <c r="D72" i="3"/>
  <c r="G92" i="3"/>
  <c r="J91" i="6" s="1"/>
  <c r="E32" i="3"/>
  <c r="C57" i="3"/>
  <c r="K40" i="3"/>
  <c r="F39" i="6" s="1"/>
  <c r="C53" i="3"/>
  <c r="I69" i="3"/>
  <c r="F105" i="3"/>
  <c r="K17" i="3"/>
  <c r="F16" i="6" s="1"/>
  <c r="E112" i="3"/>
  <c r="I20" i="3"/>
  <c r="K106" i="3"/>
  <c r="F105" i="6" s="1"/>
  <c r="D26" i="3"/>
  <c r="E55" i="3"/>
  <c r="I15" i="3"/>
  <c r="C45" i="3"/>
  <c r="I30" i="3"/>
  <c r="K75" i="3"/>
  <c r="F74" i="6" s="1"/>
  <c r="G108" i="3"/>
  <c r="J107" i="6" s="1"/>
  <c r="D66" i="3"/>
  <c r="C73" i="3"/>
  <c r="I53" i="3"/>
  <c r="G53" i="3"/>
  <c r="J52" i="6" s="1"/>
  <c r="D83" i="3"/>
  <c r="F62" i="3"/>
  <c r="E33" i="3"/>
  <c r="K86" i="3"/>
  <c r="F85" i="6" s="1"/>
  <c r="G101" i="3"/>
  <c r="J100" i="6" s="1"/>
  <c r="F29" i="3"/>
  <c r="F112" i="3"/>
  <c r="G12" i="3"/>
  <c r="J11" i="6" s="1"/>
  <c r="K113" i="3"/>
  <c r="F112" i="6" s="1"/>
  <c r="D24" i="3"/>
  <c r="E72" i="3"/>
  <c r="I27" i="3"/>
  <c r="K66" i="3"/>
  <c r="F65" i="6" s="1"/>
  <c r="G99" i="3"/>
  <c r="J98" i="6" s="1"/>
  <c r="F85" i="3"/>
  <c r="D59" i="3"/>
  <c r="E92" i="3"/>
  <c r="K24" i="3"/>
  <c r="F23" i="6" s="1"/>
  <c r="K110" i="3"/>
  <c r="F109" i="6" s="1"/>
  <c r="G40" i="3"/>
  <c r="J39" i="6" s="1"/>
  <c r="E67" i="3"/>
  <c r="C110" i="3"/>
  <c r="D88" i="3"/>
  <c r="G88" i="3"/>
  <c r="J87" i="6" s="1"/>
  <c r="I59" i="3"/>
  <c r="C61" i="3"/>
  <c r="K29" i="3"/>
  <c r="F28" i="6" s="1"/>
  <c r="I58" i="3"/>
  <c r="E37" i="3"/>
  <c r="F97" i="3"/>
  <c r="K21" i="3"/>
  <c r="F20" i="6" s="1"/>
  <c r="E116" i="3"/>
  <c r="I16" i="3"/>
  <c r="K70" i="3"/>
  <c r="F69" i="6" s="1"/>
  <c r="D30" i="3"/>
  <c r="E59" i="3"/>
  <c r="C102" i="3"/>
  <c r="D56" i="3"/>
  <c r="G80" i="3"/>
  <c r="J79" i="6" s="1"/>
  <c r="I38" i="3"/>
  <c r="G104" i="3"/>
  <c r="J103" i="6" s="1"/>
  <c r="C28" i="3"/>
  <c r="C77" i="3"/>
  <c r="D44" i="3"/>
  <c r="F89" i="3"/>
  <c r="D99" i="3"/>
  <c r="E104" i="3"/>
  <c r="I12" i="3"/>
  <c r="K98" i="3"/>
  <c r="F97" i="6" s="1"/>
  <c r="C18" i="3"/>
  <c r="I23" i="3"/>
  <c r="C49" i="3"/>
  <c r="I76" i="3"/>
  <c r="K109" i="3"/>
  <c r="F108" i="6" s="1"/>
  <c r="D47" i="3"/>
  <c r="E76" i="3"/>
  <c r="G23" i="3"/>
  <c r="J22" i="6" s="1"/>
  <c r="D84" i="3"/>
  <c r="G103" i="3"/>
  <c r="J102" i="6" s="1"/>
  <c r="E44" i="3"/>
  <c r="F116" i="3"/>
  <c r="G19" i="3"/>
  <c r="J18" i="6" s="1"/>
  <c r="K58" i="3"/>
  <c r="F57" i="6" s="1"/>
  <c r="K45" i="3"/>
  <c r="F44" i="6" s="1"/>
  <c r="D108" i="3"/>
  <c r="C106" i="3"/>
  <c r="G25" i="3"/>
  <c r="J24" i="6" s="1"/>
  <c r="G68" i="3"/>
  <c r="J67" i="6" s="1"/>
  <c r="D46" i="3"/>
  <c r="F88" i="3"/>
  <c r="E21" i="3"/>
  <c r="F49" i="3"/>
  <c r="D12" i="3"/>
  <c r="K97" i="3"/>
  <c r="F96" i="6" s="1"/>
  <c r="I94" i="3"/>
  <c r="F38" i="3"/>
  <c r="I48" i="3"/>
  <c r="K82" i="3"/>
  <c r="F81" i="6" s="1"/>
  <c r="G115" i="3"/>
  <c r="J114" i="6" s="1"/>
  <c r="D86" i="3"/>
  <c r="C98" i="3"/>
  <c r="I81" i="3"/>
  <c r="G60" i="3"/>
  <c r="J59" i="6" s="1"/>
  <c r="G35" i="3"/>
  <c r="J34" i="6" s="1"/>
  <c r="F72" i="3"/>
  <c r="F23" i="3"/>
  <c r="C81" i="3"/>
  <c r="I13" i="3"/>
  <c r="F81" i="3"/>
  <c r="E28" i="3"/>
  <c r="E108" i="3"/>
  <c r="I96" i="3"/>
  <c r="K62" i="3"/>
  <c r="F61" i="6" s="1"/>
  <c r="C22" i="3"/>
  <c r="E51" i="3"/>
  <c r="G81" i="3"/>
  <c r="J80" i="6" s="1"/>
  <c r="E75" i="3"/>
  <c r="K89" i="3"/>
  <c r="F88" i="6" s="1"/>
  <c r="I62" i="3"/>
  <c r="E48" i="3"/>
  <c r="C111" i="3"/>
  <c r="I111" i="3"/>
  <c r="G75" i="3"/>
  <c r="J74" i="6" s="1"/>
  <c r="I63" i="3"/>
  <c r="C58" i="3"/>
  <c r="D93" i="3"/>
  <c r="C62" i="3"/>
  <c r="C72" i="3"/>
  <c r="G95" i="3"/>
  <c r="J94" i="6" s="1"/>
  <c r="D112" i="3"/>
  <c r="C86" i="3"/>
  <c r="G29" i="3"/>
  <c r="J28" i="6" s="1"/>
  <c r="G64" i="3"/>
  <c r="J63" i="6" s="1"/>
  <c r="K18" i="3"/>
  <c r="F17" i="6" s="1"/>
  <c r="F96" i="3"/>
  <c r="D81" i="3"/>
  <c r="K105" i="3"/>
  <c r="F104" i="6" s="1"/>
  <c r="D16" i="3"/>
  <c r="E64" i="3"/>
  <c r="D115" i="3"/>
  <c r="E60" i="3"/>
  <c r="G42" i="3"/>
  <c r="J41" i="6" s="1"/>
  <c r="K78" i="3"/>
  <c r="F77" i="6" s="1"/>
  <c r="F14" i="3"/>
  <c r="D102" i="3"/>
  <c r="C78" i="3"/>
  <c r="I97" i="3"/>
  <c r="G56" i="3"/>
  <c r="J55" i="6" s="1"/>
  <c r="D103" i="3"/>
  <c r="F80" i="3"/>
  <c r="I19" i="3"/>
  <c r="D74" i="3"/>
  <c r="I52" i="3"/>
  <c r="F41" i="3"/>
  <c r="I32" i="3"/>
  <c r="E80" i="3"/>
  <c r="D37" i="3"/>
  <c r="K74" i="3"/>
  <c r="F73" i="6" s="1"/>
  <c r="G107" i="3"/>
  <c r="J106" i="6" s="1"/>
  <c r="D54" i="3"/>
  <c r="K42" i="3"/>
  <c r="F41" i="6" s="1"/>
  <c r="E52" i="3"/>
  <c r="I79" i="3"/>
  <c r="F55" i="3"/>
  <c r="I88" i="3"/>
  <c r="D80" i="3"/>
  <c r="E69" i="3"/>
  <c r="E40" i="3"/>
  <c r="K11" i="3"/>
  <c r="F10" i="6" s="1"/>
  <c r="I18" i="3"/>
  <c r="F26" i="3"/>
  <c r="C71" i="3"/>
  <c r="G91" i="3"/>
  <c r="J90" i="6" s="1"/>
  <c r="F31" i="3"/>
  <c r="D97" i="3"/>
  <c r="E102" i="3"/>
  <c r="E53" i="3"/>
  <c r="K20" i="3"/>
  <c r="F19" i="6" s="1"/>
  <c r="C27" i="3"/>
  <c r="F63" i="3"/>
  <c r="K65" i="3"/>
  <c r="F64" i="6" s="1"/>
  <c r="V604" i="12"/>
  <c r="W603" i="12"/>
  <c r="P606" i="12"/>
  <c r="Q605" i="12"/>
  <c r="R605" i="12"/>
  <c r="J11" i="5" l="1"/>
  <c r="X605" i="12"/>
  <c r="Y605" i="12"/>
  <c r="C108" i="5"/>
  <c r="B100" i="5"/>
  <c r="B100" i="6" s="1"/>
  <c r="B92" i="5"/>
  <c r="B92" i="6" s="1"/>
  <c r="B108" i="5"/>
  <c r="B108" i="6" s="1"/>
  <c r="B101" i="5"/>
  <c r="B101" i="6" s="1"/>
  <c r="B93" i="5"/>
  <c r="B93" i="6" s="1"/>
  <c r="C103" i="5"/>
  <c r="B97" i="5"/>
  <c r="B97" i="6" s="1"/>
  <c r="B83" i="5"/>
  <c r="B83" i="6" s="1"/>
  <c r="B75" i="5"/>
  <c r="B75" i="6" s="1"/>
  <c r="B71" i="5"/>
  <c r="B71" i="6" s="1"/>
  <c r="B67" i="5"/>
  <c r="B67" i="6" s="1"/>
  <c r="C115" i="5"/>
  <c r="B105" i="5"/>
  <c r="B105" i="6" s="1"/>
  <c r="C85" i="5"/>
  <c r="C75" i="5"/>
  <c r="C71" i="5"/>
  <c r="C67" i="5"/>
  <c r="C62" i="5"/>
  <c r="C58" i="5"/>
  <c r="C54" i="5"/>
  <c r="C50" i="5"/>
  <c r="C46" i="5"/>
  <c r="B111" i="5"/>
  <c r="B111" i="6" s="1"/>
  <c r="C83" i="5"/>
  <c r="B64" i="5"/>
  <c r="B64" i="6" s="1"/>
  <c r="B60" i="5"/>
  <c r="B60" i="6" s="1"/>
  <c r="B56" i="5"/>
  <c r="B56" i="6" s="1"/>
  <c r="B48" i="5"/>
  <c r="B48" i="6" s="1"/>
  <c r="C44" i="5"/>
  <c r="C36" i="5"/>
  <c r="C82" i="5"/>
  <c r="B35" i="5"/>
  <c r="B35" i="6" s="1"/>
  <c r="B42" i="5"/>
  <c r="B42" i="6" s="1"/>
  <c r="C107" i="5"/>
  <c r="B32" i="5"/>
  <c r="B32" i="6" s="1"/>
  <c r="C18" i="5"/>
  <c r="C22" i="5"/>
  <c r="C92" i="5"/>
  <c r="C34" i="5"/>
  <c r="C31" i="5"/>
  <c r="C32" i="5"/>
  <c r="B104" i="5"/>
  <c r="B104" i="6" s="1"/>
  <c r="B20" i="5"/>
  <c r="B20" i="6" s="1"/>
  <c r="B40" i="5"/>
  <c r="B40" i="6" s="1"/>
  <c r="C114" i="5"/>
  <c r="C106" i="5"/>
  <c r="B98" i="5"/>
  <c r="B98" i="6" s="1"/>
  <c r="B114" i="5"/>
  <c r="B114" i="6" s="1"/>
  <c r="B106" i="5"/>
  <c r="B106" i="6" s="1"/>
  <c r="C99" i="5"/>
  <c r="C91" i="5"/>
  <c r="B102" i="5"/>
  <c r="B102" i="6" s="1"/>
  <c r="B90" i="5"/>
  <c r="B90" i="6" s="1"/>
  <c r="C81" i="5"/>
  <c r="B74" i="5"/>
  <c r="B74" i="6" s="1"/>
  <c r="B70" i="5"/>
  <c r="B70" i="6" s="1"/>
  <c r="B66" i="5"/>
  <c r="B66" i="6" s="1"/>
  <c r="C113" i="5"/>
  <c r="C97" i="5"/>
  <c r="C80" i="5"/>
  <c r="C74" i="5"/>
  <c r="C70" i="5"/>
  <c r="C66" i="5"/>
  <c r="C61" i="5"/>
  <c r="C57" i="5"/>
  <c r="C53" i="5"/>
  <c r="C49" i="5"/>
  <c r="C45" i="5"/>
  <c r="C90" i="5"/>
  <c r="B80" i="5"/>
  <c r="B80" i="6" s="1"/>
  <c r="B63" i="5"/>
  <c r="B63" i="6" s="1"/>
  <c r="B59" i="5"/>
  <c r="B59" i="6" s="1"/>
  <c r="B55" i="5"/>
  <c r="B55" i="6" s="1"/>
  <c r="B51" i="5"/>
  <c r="B51" i="6" s="1"/>
  <c r="B47" i="5"/>
  <c r="B47" i="6" s="1"/>
  <c r="C43" i="5"/>
  <c r="C39" i="5"/>
  <c r="C35" i="5"/>
  <c r="B87" i="5"/>
  <c r="B87" i="6" s="1"/>
  <c r="B81" i="5"/>
  <c r="B81" i="6" s="1"/>
  <c r="C78" i="5"/>
  <c r="B34" i="5"/>
  <c r="B34" i="6" s="1"/>
  <c r="B26" i="5"/>
  <c r="B26" i="6" s="1"/>
  <c r="B12" i="5"/>
  <c r="B12" i="6" s="1"/>
  <c r="B38" i="5"/>
  <c r="B38" i="6" s="1"/>
  <c r="B27" i="5"/>
  <c r="B27" i="6" s="1"/>
  <c r="C19" i="5"/>
  <c r="C105" i="5"/>
  <c r="B41" i="5"/>
  <c r="B41" i="6" s="1"/>
  <c r="C29" i="5"/>
  <c r="C21" i="5"/>
  <c r="C17" i="5"/>
  <c r="C15" i="5"/>
  <c r="B18" i="5"/>
  <c r="B18" i="6" s="1"/>
  <c r="B21" i="5"/>
  <c r="B21" i="6" s="1"/>
  <c r="B44" i="5"/>
  <c r="B44" i="6" s="1"/>
  <c r="C26" i="5"/>
  <c r="B50" i="5"/>
  <c r="B50" i="6" s="1"/>
  <c r="C42" i="5"/>
  <c r="C38" i="5"/>
  <c r="B86" i="5"/>
  <c r="B86" i="6" s="1"/>
  <c r="C23" i="5"/>
  <c r="B37" i="5"/>
  <c r="B37" i="6" s="1"/>
  <c r="C16" i="5"/>
  <c r="B17" i="5"/>
  <c r="B17" i="6" s="1"/>
  <c r="C112" i="5"/>
  <c r="B103" i="5"/>
  <c r="B103" i="6" s="1"/>
  <c r="B95" i="5"/>
  <c r="B95" i="6" s="1"/>
  <c r="B112" i="5"/>
  <c r="B112" i="6" s="1"/>
  <c r="C104" i="5"/>
  <c r="C96" i="5"/>
  <c r="C111" i="5"/>
  <c r="C100" i="5"/>
  <c r="C88" i="5"/>
  <c r="C79" i="5"/>
  <c r="B73" i="5"/>
  <c r="B73" i="6" s="1"/>
  <c r="B69" i="5"/>
  <c r="B69" i="6" s="1"/>
  <c r="B65" i="5"/>
  <c r="B65" i="6" s="1"/>
  <c r="C109" i="5"/>
  <c r="B94" i="5"/>
  <c r="B94" i="6" s="1"/>
  <c r="B78" i="5"/>
  <c r="B78" i="6" s="1"/>
  <c r="C73" i="5"/>
  <c r="C69" i="5"/>
  <c r="C65" i="5"/>
  <c r="C60" i="5"/>
  <c r="C56" i="5"/>
  <c r="C52" i="5"/>
  <c r="C48" i="5"/>
  <c r="B115" i="5"/>
  <c r="B115" i="6" s="1"/>
  <c r="C87" i="5"/>
  <c r="B79" i="5"/>
  <c r="B79" i="6" s="1"/>
  <c r="B62" i="5"/>
  <c r="B62" i="6" s="1"/>
  <c r="B58" i="5"/>
  <c r="B58" i="6" s="1"/>
  <c r="B54" i="5"/>
  <c r="B54" i="6" s="1"/>
  <c r="B46" i="5"/>
  <c r="B46" i="6" s="1"/>
  <c r="C98" i="5"/>
  <c r="B43" i="5"/>
  <c r="B43" i="6" s="1"/>
  <c r="C24" i="5"/>
  <c r="B28" i="5"/>
  <c r="B28" i="6" s="1"/>
  <c r="B15" i="5"/>
  <c r="B15" i="6" s="1"/>
  <c r="C110" i="5"/>
  <c r="C101" i="5"/>
  <c r="C93" i="5"/>
  <c r="B110" i="5"/>
  <c r="B110" i="6" s="1"/>
  <c r="C102" i="5"/>
  <c r="C94" i="5"/>
  <c r="B109" i="5"/>
  <c r="B109" i="6" s="1"/>
  <c r="B99" i="5"/>
  <c r="B99" i="6" s="1"/>
  <c r="C86" i="5"/>
  <c r="B76" i="5"/>
  <c r="B76" i="6" s="1"/>
  <c r="B72" i="5"/>
  <c r="B72" i="6" s="1"/>
  <c r="B68" i="5"/>
  <c r="B68" i="6" s="1"/>
  <c r="C64" i="5"/>
  <c r="B107" i="5"/>
  <c r="B107" i="6" s="1"/>
  <c r="B91" i="5"/>
  <c r="B91" i="6" s="1"/>
  <c r="C76" i="5"/>
  <c r="C72" i="5"/>
  <c r="C68" i="5"/>
  <c r="C63" i="5"/>
  <c r="C59" i="5"/>
  <c r="C55" i="5"/>
  <c r="C51" i="5"/>
  <c r="C47" i="5"/>
  <c r="B113" i="5"/>
  <c r="B113" i="6" s="1"/>
  <c r="B85" i="5"/>
  <c r="B85" i="6" s="1"/>
  <c r="C77" i="5"/>
  <c r="B61" i="5"/>
  <c r="B61" i="6" s="1"/>
  <c r="B57" i="5"/>
  <c r="B57" i="6" s="1"/>
  <c r="B53" i="5"/>
  <c r="B53" i="6" s="1"/>
  <c r="B49" i="5"/>
  <c r="B49" i="6" s="1"/>
  <c r="B45" i="5"/>
  <c r="B45" i="6" s="1"/>
  <c r="C41" i="5"/>
  <c r="C37" i="5"/>
  <c r="B96" i="5"/>
  <c r="B96" i="6" s="1"/>
  <c r="C84" i="5"/>
  <c r="B84" i="5"/>
  <c r="B84" i="6" s="1"/>
  <c r="B39" i="5"/>
  <c r="B39" i="6" s="1"/>
  <c r="B30" i="5"/>
  <c r="B30" i="6" s="1"/>
  <c r="B22" i="5"/>
  <c r="B22" i="6" s="1"/>
  <c r="B89" i="5"/>
  <c r="B89" i="6" s="1"/>
  <c r="B31" i="5"/>
  <c r="B31" i="6" s="1"/>
  <c r="B23" i="5"/>
  <c r="B23" i="6" s="1"/>
  <c r="B10" i="5"/>
  <c r="B10" i="6" s="1"/>
  <c r="C95" i="5"/>
  <c r="C33" i="5"/>
  <c r="C25" i="5"/>
  <c r="B19" i="5"/>
  <c r="B19" i="6" s="1"/>
  <c r="B33" i="5"/>
  <c r="B33" i="6" s="1"/>
  <c r="C30" i="5"/>
  <c r="C12" i="5"/>
  <c r="C11" i="5"/>
  <c r="B36" i="5"/>
  <c r="B36" i="6" s="1"/>
  <c r="C14" i="5"/>
  <c r="B52" i="5"/>
  <c r="B52" i="6" s="1"/>
  <c r="C40" i="5"/>
  <c r="C89" i="5"/>
  <c r="B82" i="5"/>
  <c r="B82" i="6" s="1"/>
  <c r="C27" i="5"/>
  <c r="C13" i="5"/>
  <c r="C28" i="5"/>
  <c r="C20" i="5"/>
  <c r="B77" i="5"/>
  <c r="B77" i="6" s="1"/>
  <c r="B24" i="5"/>
  <c r="B24" i="6" s="1"/>
  <c r="B25" i="5"/>
  <c r="B25" i="6" s="1"/>
  <c r="B29" i="5"/>
  <c r="B29" i="6" s="1"/>
  <c r="B11" i="5"/>
  <c r="B11" i="6" s="1"/>
  <c r="B88" i="5"/>
  <c r="B88" i="6" s="1"/>
  <c r="C10" i="5"/>
  <c r="B13" i="5"/>
  <c r="B13" i="6" s="1"/>
  <c r="B14" i="5"/>
  <c r="B14" i="6" s="1"/>
  <c r="B16" i="5"/>
  <c r="B16" i="6" s="1"/>
  <c r="H79" i="6"/>
  <c r="I79" i="6"/>
  <c r="S79" i="5"/>
  <c r="F79" i="5"/>
  <c r="AC79" i="5" s="1"/>
  <c r="H15" i="6"/>
  <c r="S15" i="5"/>
  <c r="H92" i="6"/>
  <c r="I92" i="6"/>
  <c r="S92" i="5"/>
  <c r="F92" i="5"/>
  <c r="AC92" i="5" s="1"/>
  <c r="H98" i="6"/>
  <c r="I98" i="6"/>
  <c r="S98" i="5"/>
  <c r="H23" i="6"/>
  <c r="S23" i="5"/>
  <c r="H25" i="6"/>
  <c r="S25" i="5"/>
  <c r="H71" i="6"/>
  <c r="I71" i="6"/>
  <c r="S71" i="5"/>
  <c r="F71" i="5"/>
  <c r="AC71" i="5" s="1"/>
  <c r="H14" i="6"/>
  <c r="I14" i="6"/>
  <c r="S14" i="5"/>
  <c r="F14" i="5"/>
  <c r="AC14" i="5" s="1"/>
  <c r="H17" i="6"/>
  <c r="S17" i="5"/>
  <c r="H52" i="6"/>
  <c r="I52" i="6"/>
  <c r="S52" i="5"/>
  <c r="H35" i="6"/>
  <c r="I35" i="6"/>
  <c r="S35" i="5"/>
  <c r="H103" i="6"/>
  <c r="I103" i="6"/>
  <c r="S103" i="5"/>
  <c r="H94" i="6"/>
  <c r="I94" i="6"/>
  <c r="S94" i="5"/>
  <c r="H22" i="6"/>
  <c r="S22" i="5"/>
  <c r="H72" i="6"/>
  <c r="I72" i="6"/>
  <c r="S72" i="5"/>
  <c r="H39" i="6"/>
  <c r="I39" i="6"/>
  <c r="S39" i="5"/>
  <c r="H44" i="6"/>
  <c r="I44" i="6"/>
  <c r="S44" i="5"/>
  <c r="H48" i="6"/>
  <c r="I48" i="6"/>
  <c r="S48" i="5"/>
  <c r="H47" i="6"/>
  <c r="I47" i="6"/>
  <c r="S47" i="5"/>
  <c r="H113" i="6"/>
  <c r="I113" i="6"/>
  <c r="S113" i="5"/>
  <c r="H100" i="6"/>
  <c r="I100" i="6"/>
  <c r="S100" i="5"/>
  <c r="F100" i="5"/>
  <c r="AC100" i="5" s="1"/>
  <c r="H63" i="6"/>
  <c r="I63" i="6"/>
  <c r="S63" i="5"/>
  <c r="H109" i="6"/>
  <c r="I109" i="6"/>
  <c r="S109" i="5"/>
  <c r="H16" i="6"/>
  <c r="I16" i="6"/>
  <c r="S16" i="5"/>
  <c r="H112" i="6"/>
  <c r="I112" i="6"/>
  <c r="S112" i="5"/>
  <c r="F112" i="5"/>
  <c r="AC112" i="5" s="1"/>
  <c r="H31" i="6"/>
  <c r="I31" i="6"/>
  <c r="S31" i="5"/>
  <c r="H108" i="6"/>
  <c r="I108" i="6"/>
  <c r="S108" i="5"/>
  <c r="F108" i="5"/>
  <c r="AC108" i="5" s="1"/>
  <c r="H69" i="6"/>
  <c r="I69" i="6"/>
  <c r="S69" i="5"/>
  <c r="H111" i="6"/>
  <c r="I111" i="6"/>
  <c r="S111" i="5"/>
  <c r="F111" i="5"/>
  <c r="AC111" i="5" s="1"/>
  <c r="H83" i="6"/>
  <c r="I83" i="6"/>
  <c r="S83" i="5"/>
  <c r="H55" i="6"/>
  <c r="I55" i="6"/>
  <c r="S55" i="5"/>
  <c r="F55" i="5"/>
  <c r="AC55" i="5" s="1"/>
  <c r="H36" i="6"/>
  <c r="I36" i="6"/>
  <c r="S36" i="5"/>
  <c r="H102" i="6"/>
  <c r="I102" i="6"/>
  <c r="S102" i="5"/>
  <c r="H101" i="6"/>
  <c r="I101" i="6"/>
  <c r="S101" i="5"/>
  <c r="H11" i="6"/>
  <c r="S11" i="5"/>
  <c r="I11" i="6"/>
  <c r="F11" i="5"/>
  <c r="AC11" i="5" s="1"/>
  <c r="H45" i="6"/>
  <c r="I45" i="6"/>
  <c r="S45" i="5"/>
  <c r="H107" i="6"/>
  <c r="I107" i="6"/>
  <c r="S107" i="5"/>
  <c r="F107" i="5"/>
  <c r="AC107" i="5" s="1"/>
  <c r="H82" i="6"/>
  <c r="I82" i="6"/>
  <c r="S82" i="5"/>
  <c r="H65" i="6"/>
  <c r="I65" i="6"/>
  <c r="S65" i="5"/>
  <c r="F65" i="5"/>
  <c r="AC65" i="5" s="1"/>
  <c r="H64" i="6"/>
  <c r="I64" i="6"/>
  <c r="S64" i="5"/>
  <c r="F64" i="5"/>
  <c r="AC64" i="5" s="1"/>
  <c r="H19" i="6"/>
  <c r="S19" i="5"/>
  <c r="H97" i="6"/>
  <c r="I97" i="6"/>
  <c r="S97" i="5"/>
  <c r="H10" i="6"/>
  <c r="P10" i="6" s="1"/>
  <c r="I10" i="6"/>
  <c r="Q10" i="6" s="1"/>
  <c r="S10" i="5"/>
  <c r="H91" i="6"/>
  <c r="I91" i="6"/>
  <c r="S91" i="5"/>
  <c r="H32" i="6"/>
  <c r="I32" i="6"/>
  <c r="S32" i="5"/>
  <c r="H78" i="6"/>
  <c r="I78" i="6"/>
  <c r="S78" i="5"/>
  <c r="H95" i="6"/>
  <c r="I95" i="6"/>
  <c r="S95" i="5"/>
  <c r="H110" i="6"/>
  <c r="I110" i="6"/>
  <c r="S110" i="5"/>
  <c r="H27" i="6"/>
  <c r="S27" i="5"/>
  <c r="F27" i="5"/>
  <c r="AC27" i="5" s="1"/>
  <c r="H57" i="6"/>
  <c r="I57" i="6"/>
  <c r="S57" i="5"/>
  <c r="H40" i="6"/>
  <c r="I40" i="6"/>
  <c r="S40" i="5"/>
  <c r="H104" i="6"/>
  <c r="I104" i="6"/>
  <c r="S104" i="5"/>
  <c r="F104" i="5"/>
  <c r="AC104" i="5" s="1"/>
  <c r="H89" i="6"/>
  <c r="I89" i="6"/>
  <c r="S89" i="5"/>
  <c r="H67" i="6"/>
  <c r="I67" i="6"/>
  <c r="S67" i="5"/>
  <c r="H53" i="6"/>
  <c r="I53" i="6"/>
  <c r="S53" i="5"/>
  <c r="H114" i="6"/>
  <c r="I114" i="6"/>
  <c r="S114" i="5"/>
  <c r="H85" i="6"/>
  <c r="I85" i="6"/>
  <c r="S85" i="5"/>
  <c r="H58" i="6"/>
  <c r="I58" i="6"/>
  <c r="S58" i="5"/>
  <c r="H81" i="6"/>
  <c r="I81" i="6"/>
  <c r="S81" i="5"/>
  <c r="H68" i="6"/>
  <c r="I68" i="6"/>
  <c r="S68" i="5"/>
  <c r="H56" i="6"/>
  <c r="I56" i="6"/>
  <c r="S56" i="5"/>
  <c r="H66" i="6"/>
  <c r="I66" i="6"/>
  <c r="S66" i="5"/>
  <c r="F66" i="5"/>
  <c r="AC66" i="5" s="1"/>
  <c r="H106" i="6"/>
  <c r="I106" i="6"/>
  <c r="S106" i="5"/>
  <c r="F106" i="5"/>
  <c r="AC106" i="5" s="1"/>
  <c r="H50" i="6"/>
  <c r="I50" i="6"/>
  <c r="S50" i="5"/>
  <c r="F50" i="5"/>
  <c r="AC50" i="5" s="1"/>
  <c r="H18" i="6"/>
  <c r="S18" i="5"/>
  <c r="F18" i="5"/>
  <c r="AC18" i="5" s="1"/>
  <c r="H115" i="6"/>
  <c r="I115" i="6"/>
  <c r="S115" i="5"/>
  <c r="H38" i="6"/>
  <c r="I38" i="6"/>
  <c r="S38" i="5"/>
  <c r="F38" i="5"/>
  <c r="AC38" i="5" s="1"/>
  <c r="H62" i="6"/>
  <c r="I62" i="6"/>
  <c r="S62" i="5"/>
  <c r="H93" i="6"/>
  <c r="I93" i="6"/>
  <c r="S93" i="5"/>
  <c r="F93" i="5"/>
  <c r="AC93" i="5" s="1"/>
  <c r="H77" i="6"/>
  <c r="I77" i="6"/>
  <c r="S77" i="5"/>
  <c r="F77" i="5"/>
  <c r="AC77" i="5" s="1"/>
  <c r="H60" i="6"/>
  <c r="I60" i="6"/>
  <c r="S60" i="5"/>
  <c r="F60" i="5"/>
  <c r="AC60" i="5" s="1"/>
  <c r="H105" i="6"/>
  <c r="I105" i="6"/>
  <c r="S105" i="5"/>
  <c r="F105" i="5"/>
  <c r="AC105" i="5" s="1"/>
  <c r="H61" i="6"/>
  <c r="I61" i="6"/>
  <c r="S61" i="5"/>
  <c r="H90" i="6"/>
  <c r="I90" i="6"/>
  <c r="S90" i="5"/>
  <c r="F90" i="5"/>
  <c r="AC90" i="5" s="1"/>
  <c r="H20" i="6"/>
  <c r="I20" i="6"/>
  <c r="S20" i="5"/>
  <c r="H74" i="6"/>
  <c r="I74" i="6"/>
  <c r="S74" i="5"/>
  <c r="H42" i="6"/>
  <c r="I42" i="6"/>
  <c r="S42" i="5"/>
  <c r="F42" i="5"/>
  <c r="AC42" i="5" s="1"/>
  <c r="H30" i="6"/>
  <c r="I30" i="6"/>
  <c r="S30" i="5"/>
  <c r="F30" i="5"/>
  <c r="AC30" i="5" s="1"/>
  <c r="H99" i="6"/>
  <c r="I99" i="6"/>
  <c r="S99" i="5"/>
  <c r="H41" i="6"/>
  <c r="I41" i="6"/>
  <c r="S41" i="5"/>
  <c r="F41" i="5"/>
  <c r="AC41" i="5" s="1"/>
  <c r="H73" i="6"/>
  <c r="I73" i="6"/>
  <c r="S73" i="5"/>
  <c r="H80" i="6"/>
  <c r="I80" i="6"/>
  <c r="S80" i="5"/>
  <c r="F80" i="5"/>
  <c r="AC80" i="5" s="1"/>
  <c r="H43" i="6"/>
  <c r="I43" i="6"/>
  <c r="S43" i="5"/>
  <c r="F43" i="5"/>
  <c r="AC43" i="5" s="1"/>
  <c r="H96" i="6"/>
  <c r="I96" i="6"/>
  <c r="S96" i="5"/>
  <c r="F96" i="5"/>
  <c r="AC96" i="5" s="1"/>
  <c r="H46" i="6"/>
  <c r="I46" i="6"/>
  <c r="S46" i="5"/>
  <c r="H29" i="6"/>
  <c r="S29" i="5"/>
  <c r="H87" i="6"/>
  <c r="I87" i="6"/>
  <c r="S87" i="5"/>
  <c r="F87" i="5"/>
  <c r="AC87" i="5" s="1"/>
  <c r="H34" i="6"/>
  <c r="I34" i="6"/>
  <c r="S34" i="5"/>
  <c r="F34" i="5"/>
  <c r="AC34" i="5" s="1"/>
  <c r="H33" i="6"/>
  <c r="I33" i="6"/>
  <c r="S33" i="5"/>
  <c r="H28" i="6"/>
  <c r="S28" i="5"/>
  <c r="H84" i="6"/>
  <c r="I84" i="6"/>
  <c r="S84" i="5"/>
  <c r="F84" i="5"/>
  <c r="AC84" i="5" s="1"/>
  <c r="H59" i="6"/>
  <c r="I59" i="6"/>
  <c r="S59" i="5"/>
  <c r="F59" i="5"/>
  <c r="AC59" i="5" s="1"/>
  <c r="H24" i="6"/>
  <c r="S24" i="5"/>
  <c r="H75" i="6"/>
  <c r="I75" i="6"/>
  <c r="S75" i="5"/>
  <c r="F75" i="5"/>
  <c r="AC75" i="5" s="1"/>
  <c r="H49" i="6"/>
  <c r="I49" i="6"/>
  <c r="S49" i="5"/>
  <c r="F49" i="5"/>
  <c r="AC49" i="5" s="1"/>
  <c r="H13" i="6"/>
  <c r="I13" i="6"/>
  <c r="S13" i="5"/>
  <c r="H21" i="6"/>
  <c r="S21" i="5"/>
  <c r="H37" i="6"/>
  <c r="I37" i="6"/>
  <c r="S37" i="5"/>
  <c r="H88" i="6"/>
  <c r="I88" i="6"/>
  <c r="S88" i="5"/>
  <c r="H70" i="6"/>
  <c r="I70" i="6"/>
  <c r="S70" i="5"/>
  <c r="H54" i="6"/>
  <c r="I54" i="6"/>
  <c r="S54" i="5"/>
  <c r="F54" i="5"/>
  <c r="AC54" i="5" s="1"/>
  <c r="H76" i="6"/>
  <c r="I76" i="6"/>
  <c r="S76" i="5"/>
  <c r="F76" i="5"/>
  <c r="AC76" i="5" s="1"/>
  <c r="H12" i="6"/>
  <c r="S12" i="5"/>
  <c r="I12" i="6"/>
  <c r="H26" i="6"/>
  <c r="S26" i="5"/>
  <c r="H86" i="6"/>
  <c r="I86" i="6"/>
  <c r="S86" i="5"/>
  <c r="F86" i="5"/>
  <c r="AC86" i="5" s="1"/>
  <c r="H51" i="6"/>
  <c r="I51" i="6"/>
  <c r="S51" i="5"/>
  <c r="F51" i="5"/>
  <c r="AC51" i="5" s="1"/>
  <c r="R79" i="5"/>
  <c r="E79" i="5"/>
  <c r="AB79" i="5" s="1"/>
  <c r="R63" i="5"/>
  <c r="R107" i="5"/>
  <c r="E107" i="5"/>
  <c r="AB107" i="5" s="1"/>
  <c r="R20" i="5"/>
  <c r="R51" i="5"/>
  <c r="E51" i="5"/>
  <c r="AB51" i="5" s="1"/>
  <c r="R27" i="5"/>
  <c r="E27" i="5"/>
  <c r="AB27" i="5" s="1"/>
  <c r="R99" i="5"/>
  <c r="R82" i="5"/>
  <c r="R14" i="5"/>
  <c r="E14" i="5"/>
  <c r="AB14" i="5" s="1"/>
  <c r="R86" i="5"/>
  <c r="E86" i="5"/>
  <c r="AB86" i="5" s="1"/>
  <c r="R17" i="5"/>
  <c r="E17" i="5"/>
  <c r="AB17" i="5" s="1"/>
  <c r="R45" i="5"/>
  <c r="R114" i="5"/>
  <c r="R73" i="5"/>
  <c r="R30" i="5"/>
  <c r="E30" i="5"/>
  <c r="AB30" i="5" s="1"/>
  <c r="R13" i="5"/>
  <c r="R21" i="5"/>
  <c r="R89" i="5"/>
  <c r="R110" i="5"/>
  <c r="R93" i="5"/>
  <c r="E93" i="5"/>
  <c r="AB93" i="5" s="1"/>
  <c r="R22" i="5"/>
  <c r="R113" i="5"/>
  <c r="R48" i="5"/>
  <c r="E48" i="5"/>
  <c r="AB48" i="5" s="1"/>
  <c r="R37" i="5"/>
  <c r="E37" i="5"/>
  <c r="AB37" i="5" s="1"/>
  <c r="R44" i="5"/>
  <c r="R83" i="5"/>
  <c r="R33" i="5"/>
  <c r="R52" i="5"/>
  <c r="E52" i="5"/>
  <c r="AB52" i="5" s="1"/>
  <c r="R59" i="5"/>
  <c r="R74" i="5"/>
  <c r="E74" i="5"/>
  <c r="AB74" i="5" s="1"/>
  <c r="R36" i="5"/>
  <c r="R66" i="5"/>
  <c r="E66" i="5"/>
  <c r="AB66" i="5" s="1"/>
  <c r="R91" i="5"/>
  <c r="R40" i="5"/>
  <c r="R18" i="5"/>
  <c r="E18" i="5"/>
  <c r="AB18" i="5" s="1"/>
  <c r="R95" i="5"/>
  <c r="R16" i="5"/>
  <c r="R65" i="5"/>
  <c r="E65" i="5"/>
  <c r="AB65" i="5" s="1"/>
  <c r="R97" i="5"/>
  <c r="R94" i="5"/>
  <c r="R81" i="5"/>
  <c r="R41" i="5"/>
  <c r="E41" i="5"/>
  <c r="AB41" i="5" s="1"/>
  <c r="R85" i="5"/>
  <c r="E85" i="5"/>
  <c r="AB85" i="5" s="1"/>
  <c r="R105" i="5"/>
  <c r="E105" i="5"/>
  <c r="AB105" i="5" s="1"/>
  <c r="R34" i="5"/>
  <c r="E34" i="5"/>
  <c r="AB34" i="5" s="1"/>
  <c r="R77" i="5"/>
  <c r="E77" i="5"/>
  <c r="AB77" i="5" s="1"/>
  <c r="R19" i="5"/>
  <c r="R88" i="5"/>
  <c r="R38" i="5"/>
  <c r="E38" i="5"/>
  <c r="AB38" i="5" s="1"/>
  <c r="R76" i="5"/>
  <c r="E76" i="5"/>
  <c r="AB76" i="5" s="1"/>
  <c r="R15" i="5"/>
  <c r="R10" i="5"/>
  <c r="U10" i="5" s="1"/>
  <c r="R23" i="5"/>
  <c r="E23" i="5"/>
  <c r="AB23" i="5" s="1"/>
  <c r="R67" i="5"/>
  <c r="R101" i="5"/>
  <c r="R47" i="5"/>
  <c r="R43" i="5"/>
  <c r="E43" i="5"/>
  <c r="AB43" i="5" s="1"/>
  <c r="R75" i="5"/>
  <c r="E75" i="5"/>
  <c r="AB75" i="5" s="1"/>
  <c r="R58" i="5"/>
  <c r="E58" i="5"/>
  <c r="AB58" i="5" s="1"/>
  <c r="R115" i="5"/>
  <c r="E115" i="5"/>
  <c r="AB115" i="5" s="1"/>
  <c r="R31" i="5"/>
  <c r="E31" i="5"/>
  <c r="AB31" i="5" s="1"/>
  <c r="R62" i="5"/>
  <c r="R11" i="5"/>
  <c r="U11" i="5" s="1"/>
  <c r="E11" i="5"/>
  <c r="AB11" i="5" s="1"/>
  <c r="R106" i="5"/>
  <c r="E106" i="5"/>
  <c r="AB106" i="5" s="1"/>
  <c r="R70" i="5"/>
  <c r="R57" i="5"/>
  <c r="R78" i="5"/>
  <c r="E78" i="5"/>
  <c r="AB78" i="5" s="1"/>
  <c r="R100" i="5"/>
  <c r="E100" i="5"/>
  <c r="AB100" i="5" s="1"/>
  <c r="R69" i="5"/>
  <c r="E69" i="5"/>
  <c r="AB69" i="5" s="1"/>
  <c r="R80" i="5"/>
  <c r="E80" i="5"/>
  <c r="AB80" i="5" s="1"/>
  <c r="R92" i="5"/>
  <c r="E92" i="5"/>
  <c r="AB92" i="5" s="1"/>
  <c r="R29" i="5"/>
  <c r="E29" i="5"/>
  <c r="AB29" i="5" s="1"/>
  <c r="R46" i="5"/>
  <c r="E46" i="5"/>
  <c r="AB46" i="5" s="1"/>
  <c r="R25" i="5"/>
  <c r="R96" i="5"/>
  <c r="E96" i="5"/>
  <c r="AB96" i="5" s="1"/>
  <c r="R108" i="5"/>
  <c r="R28" i="5"/>
  <c r="E28" i="5"/>
  <c r="AB28" i="5" s="1"/>
  <c r="R104" i="5"/>
  <c r="E104" i="5"/>
  <c r="AB104" i="5" s="1"/>
  <c r="R72" i="5"/>
  <c r="E72" i="5"/>
  <c r="AB72" i="5" s="1"/>
  <c r="R112" i="5"/>
  <c r="E112" i="5"/>
  <c r="AB112" i="5" s="1"/>
  <c r="R39" i="5"/>
  <c r="E39" i="5"/>
  <c r="AB39" i="5" s="1"/>
  <c r="R68" i="5"/>
  <c r="R50" i="5"/>
  <c r="E50" i="5"/>
  <c r="AB50" i="5" s="1"/>
  <c r="R103" i="5"/>
  <c r="R71" i="5"/>
  <c r="E71" i="5"/>
  <c r="AB71" i="5" s="1"/>
  <c r="R32" i="5"/>
  <c r="R54" i="5"/>
  <c r="E54" i="5"/>
  <c r="AB54" i="5" s="1"/>
  <c r="R111" i="5"/>
  <c r="R42" i="5"/>
  <c r="E42" i="5"/>
  <c r="AB42" i="5" s="1"/>
  <c r="E90" i="5"/>
  <c r="AB90" i="5" s="1"/>
  <c r="R90" i="5"/>
  <c r="R49" i="5"/>
  <c r="E49" i="5"/>
  <c r="AB49" i="5" s="1"/>
  <c r="R102" i="5"/>
  <c r="R55" i="5"/>
  <c r="E55" i="5"/>
  <c r="AB55" i="5" s="1"/>
  <c r="R53" i="5"/>
  <c r="E53" i="5"/>
  <c r="AB53" i="5" s="1"/>
  <c r="R98" i="5"/>
  <c r="E98" i="5"/>
  <c r="AB98" i="5" s="1"/>
  <c r="R12" i="5"/>
  <c r="R35" i="5"/>
  <c r="R61" i="5"/>
  <c r="R109" i="5"/>
  <c r="E109" i="5"/>
  <c r="AB109" i="5" s="1"/>
  <c r="R64" i="5"/>
  <c r="E64" i="5"/>
  <c r="AB64" i="5" s="1"/>
  <c r="R60" i="5"/>
  <c r="E60" i="5"/>
  <c r="AB60" i="5" s="1"/>
  <c r="R56" i="5"/>
  <c r="R84" i="5"/>
  <c r="R26" i="5"/>
  <c r="R24" i="5"/>
  <c r="E24" i="5"/>
  <c r="AB24" i="5" s="1"/>
  <c r="R87" i="5"/>
  <c r="J12" i="5"/>
  <c r="J13" i="5" s="1"/>
  <c r="D51" i="6"/>
  <c r="G51" i="6" s="1"/>
  <c r="C51" i="6"/>
  <c r="E51" i="6" s="1"/>
  <c r="C58" i="6"/>
  <c r="E58" i="6" s="1"/>
  <c r="D58" i="6"/>
  <c r="G58" i="6" s="1"/>
  <c r="D21" i="6"/>
  <c r="G21" i="6" s="1"/>
  <c r="C21" i="6"/>
  <c r="C74" i="6"/>
  <c r="E74" i="6" s="1"/>
  <c r="D74" i="6"/>
  <c r="G74" i="6" s="1"/>
  <c r="C89" i="6"/>
  <c r="E89" i="6" s="1"/>
  <c r="D89" i="6"/>
  <c r="G89" i="6" s="1"/>
  <c r="C34" i="6"/>
  <c r="E34" i="6" s="1"/>
  <c r="D34" i="6"/>
  <c r="G34" i="6" s="1"/>
  <c r="D86" i="6"/>
  <c r="G86" i="6" s="1"/>
  <c r="C86" i="6"/>
  <c r="E86" i="6" s="1"/>
  <c r="C36" i="6"/>
  <c r="E36" i="6" s="1"/>
  <c r="D36" i="6"/>
  <c r="G36" i="6" s="1"/>
  <c r="D70" i="6"/>
  <c r="G70" i="6" s="1"/>
  <c r="C70" i="6"/>
  <c r="E70" i="6" s="1"/>
  <c r="C100" i="6"/>
  <c r="E100" i="6" s="1"/>
  <c r="D100" i="6"/>
  <c r="G100" i="6" s="1"/>
  <c r="D108" i="6"/>
  <c r="G108" i="6" s="1"/>
  <c r="C108" i="6"/>
  <c r="E108" i="6" s="1"/>
  <c r="D24" i="6"/>
  <c r="G24" i="6" s="1"/>
  <c r="C24" i="6"/>
  <c r="E24" i="6" s="1"/>
  <c r="I24" i="6" s="1"/>
  <c r="D10" i="6"/>
  <c r="G10" i="6" s="1"/>
  <c r="C10" i="6"/>
  <c r="E10" i="6" s="1"/>
  <c r="D101" i="6"/>
  <c r="G101" i="6" s="1"/>
  <c r="C101" i="6"/>
  <c r="E101" i="6" s="1"/>
  <c r="C39" i="6"/>
  <c r="E39" i="6" s="1"/>
  <c r="D39" i="6"/>
  <c r="G39" i="6" s="1"/>
  <c r="C105" i="6"/>
  <c r="E105" i="6" s="1"/>
  <c r="D105" i="6"/>
  <c r="G105" i="6" s="1"/>
  <c r="C115" i="6"/>
  <c r="E115" i="6" s="1"/>
  <c r="D115" i="6"/>
  <c r="G115" i="6" s="1"/>
  <c r="D13" i="6"/>
  <c r="G13" i="6" s="1"/>
  <c r="C13" i="6"/>
  <c r="C109" i="6"/>
  <c r="E109" i="6" s="1"/>
  <c r="D109" i="6"/>
  <c r="G109" i="6" s="1"/>
  <c r="C104" i="6"/>
  <c r="E104" i="6" s="1"/>
  <c r="D104" i="6"/>
  <c r="G104" i="6" s="1"/>
  <c r="D44" i="6"/>
  <c r="G44" i="6" s="1"/>
  <c r="C44" i="6"/>
  <c r="E44" i="6" s="1"/>
  <c r="D23" i="6"/>
  <c r="G23" i="6" s="1"/>
  <c r="C23" i="6"/>
  <c r="E23" i="6" s="1"/>
  <c r="I23" i="6" s="1"/>
  <c r="C99" i="6"/>
  <c r="E99" i="6" s="1"/>
  <c r="D99" i="6"/>
  <c r="G99" i="6" s="1"/>
  <c r="D114" i="6"/>
  <c r="G114" i="6" s="1"/>
  <c r="C114" i="6"/>
  <c r="E114" i="6" s="1"/>
  <c r="D43" i="6"/>
  <c r="G43" i="6" s="1"/>
  <c r="C43" i="6"/>
  <c r="E43" i="6" s="1"/>
  <c r="C42" i="6"/>
  <c r="E42" i="6" s="1"/>
  <c r="D42" i="6"/>
  <c r="G42" i="6" s="1"/>
  <c r="C62" i="6"/>
  <c r="E62" i="6" s="1"/>
  <c r="D62" i="6"/>
  <c r="G62" i="6" s="1"/>
  <c r="C95" i="6"/>
  <c r="E95" i="6" s="1"/>
  <c r="D95" i="6"/>
  <c r="G95" i="6" s="1"/>
  <c r="C12" i="6"/>
  <c r="D12" i="6"/>
  <c r="G12" i="6" s="1"/>
  <c r="C11" i="6"/>
  <c r="E11" i="6" s="1"/>
  <c r="D11" i="6"/>
  <c r="G11" i="6" s="1"/>
  <c r="D37" i="6"/>
  <c r="G37" i="6" s="1"/>
  <c r="C37" i="6"/>
  <c r="E37" i="6" s="1"/>
  <c r="D57" i="6"/>
  <c r="G57" i="6" s="1"/>
  <c r="C57" i="6"/>
  <c r="E57" i="6" s="1"/>
  <c r="D26" i="6"/>
  <c r="G26" i="6" s="1"/>
  <c r="C26" i="6"/>
  <c r="E26" i="6" s="1"/>
  <c r="I26" i="6" s="1"/>
  <c r="D14" i="6"/>
  <c r="G14" i="6" s="1"/>
  <c r="C14" i="6"/>
  <c r="D19" i="6"/>
  <c r="G19" i="6" s="1"/>
  <c r="C19" i="6"/>
  <c r="C68" i="6"/>
  <c r="E68" i="6" s="1"/>
  <c r="D68" i="6"/>
  <c r="G68" i="6" s="1"/>
  <c r="D76" i="6"/>
  <c r="G76" i="6" s="1"/>
  <c r="C76" i="6"/>
  <c r="E76" i="6" s="1"/>
  <c r="D59" i="6"/>
  <c r="G59" i="6" s="1"/>
  <c r="C59" i="6"/>
  <c r="E59" i="6" s="1"/>
  <c r="C90" i="6"/>
  <c r="E90" i="6" s="1"/>
  <c r="D90" i="6"/>
  <c r="G90" i="6" s="1"/>
  <c r="C83" i="6"/>
  <c r="E83" i="6" s="1"/>
  <c r="D83" i="6"/>
  <c r="G83" i="6" s="1"/>
  <c r="C73" i="6"/>
  <c r="E73" i="6" s="1"/>
  <c r="D73" i="6"/>
  <c r="G73" i="6" s="1"/>
  <c r="C54" i="6"/>
  <c r="E54" i="6" s="1"/>
  <c r="D54" i="6"/>
  <c r="G54" i="6" s="1"/>
  <c r="D33" i="6"/>
  <c r="G33" i="6" s="1"/>
  <c r="C33" i="6"/>
  <c r="E33" i="6" s="1"/>
  <c r="D56" i="6"/>
  <c r="G56" i="6" s="1"/>
  <c r="C56" i="6"/>
  <c r="E56" i="6" s="1"/>
  <c r="D35" i="6"/>
  <c r="G35" i="6" s="1"/>
  <c r="C35" i="6"/>
  <c r="E35" i="6" s="1"/>
  <c r="D69" i="6"/>
  <c r="G69" i="6" s="1"/>
  <c r="C69" i="6"/>
  <c r="E69" i="6" s="1"/>
  <c r="D66" i="6"/>
  <c r="G66" i="6" s="1"/>
  <c r="C66" i="6"/>
  <c r="E66" i="6" s="1"/>
  <c r="C88" i="6"/>
  <c r="E88" i="6" s="1"/>
  <c r="D88" i="6"/>
  <c r="G88" i="6" s="1"/>
  <c r="D50" i="6"/>
  <c r="G50" i="6" s="1"/>
  <c r="C50" i="6"/>
  <c r="E50" i="6" s="1"/>
  <c r="D41" i="6"/>
  <c r="G41" i="6" s="1"/>
  <c r="C41" i="6"/>
  <c r="E41" i="6" s="1"/>
  <c r="D45" i="6"/>
  <c r="G45" i="6" s="1"/>
  <c r="C45" i="6"/>
  <c r="E45" i="6" s="1"/>
  <c r="D92" i="6"/>
  <c r="G92" i="6" s="1"/>
  <c r="C92" i="6"/>
  <c r="E92" i="6" s="1"/>
  <c r="C32" i="6"/>
  <c r="E32" i="6" s="1"/>
  <c r="D32" i="6"/>
  <c r="G32" i="6" s="1"/>
  <c r="D64" i="6"/>
  <c r="G64" i="6" s="1"/>
  <c r="C64" i="6"/>
  <c r="E64" i="6" s="1"/>
  <c r="D106" i="6"/>
  <c r="G106" i="6" s="1"/>
  <c r="C106" i="6"/>
  <c r="E106" i="6" s="1"/>
  <c r="C87" i="6"/>
  <c r="E87" i="6" s="1"/>
  <c r="D87" i="6"/>
  <c r="G87" i="6" s="1"/>
  <c r="C75" i="6"/>
  <c r="E75" i="6" s="1"/>
  <c r="D75" i="6"/>
  <c r="G75" i="6" s="1"/>
  <c r="D82" i="6"/>
  <c r="G82" i="6" s="1"/>
  <c r="C82" i="6"/>
  <c r="E82" i="6" s="1"/>
  <c r="D78" i="6"/>
  <c r="G78" i="6" s="1"/>
  <c r="C78" i="6"/>
  <c r="E78" i="6" s="1"/>
  <c r="D31" i="6"/>
  <c r="G31" i="6" s="1"/>
  <c r="C31" i="6"/>
  <c r="E31" i="6" s="1"/>
  <c r="D18" i="6"/>
  <c r="G18" i="6" s="1"/>
  <c r="C18" i="6"/>
  <c r="D96" i="6"/>
  <c r="G96" i="6" s="1"/>
  <c r="C96" i="6"/>
  <c r="E96" i="6" s="1"/>
  <c r="D61" i="6"/>
  <c r="G61" i="6" s="1"/>
  <c r="C61" i="6"/>
  <c r="E61" i="6" s="1"/>
  <c r="C93" i="6"/>
  <c r="E93" i="6" s="1"/>
  <c r="D93" i="6"/>
  <c r="G93" i="6" s="1"/>
  <c r="D22" i="6"/>
  <c r="G22" i="6" s="1"/>
  <c r="C22" i="6"/>
  <c r="E22" i="6" s="1"/>
  <c r="I22" i="6" s="1"/>
  <c r="C52" i="6"/>
  <c r="E52" i="6" s="1"/>
  <c r="D52" i="6"/>
  <c r="G52" i="6" s="1"/>
  <c r="C103" i="6"/>
  <c r="E103" i="6" s="1"/>
  <c r="D103" i="6"/>
  <c r="G103" i="6" s="1"/>
  <c r="D63" i="6"/>
  <c r="G63" i="6" s="1"/>
  <c r="C63" i="6"/>
  <c r="E63" i="6" s="1"/>
  <c r="D27" i="6"/>
  <c r="G27" i="6" s="1"/>
  <c r="C27" i="6"/>
  <c r="E27" i="6" s="1"/>
  <c r="I27" i="6" s="1"/>
  <c r="D111" i="6"/>
  <c r="G111" i="6" s="1"/>
  <c r="C111" i="6"/>
  <c r="E111" i="6" s="1"/>
  <c r="C84" i="6"/>
  <c r="E84" i="6" s="1"/>
  <c r="D84" i="6"/>
  <c r="G84" i="6" s="1"/>
  <c r="D16" i="6"/>
  <c r="G16" i="6" s="1"/>
  <c r="C16" i="6"/>
  <c r="C72" i="6"/>
  <c r="E72" i="6" s="1"/>
  <c r="D72" i="6"/>
  <c r="G72" i="6" s="1"/>
  <c r="D48" i="6"/>
  <c r="G48" i="6" s="1"/>
  <c r="C48" i="6"/>
  <c r="E48" i="6" s="1"/>
  <c r="D112" i="6"/>
  <c r="G112" i="6" s="1"/>
  <c r="C112" i="6"/>
  <c r="E112" i="6" s="1"/>
  <c r="C71" i="6"/>
  <c r="E71" i="6" s="1"/>
  <c r="D71" i="6"/>
  <c r="G71" i="6" s="1"/>
  <c r="D55" i="6"/>
  <c r="G55" i="6" s="1"/>
  <c r="C55" i="6"/>
  <c r="E55" i="6" s="1"/>
  <c r="D98" i="6"/>
  <c r="G98" i="6" s="1"/>
  <c r="C98" i="6"/>
  <c r="E98" i="6" s="1"/>
  <c r="C81" i="6"/>
  <c r="E81" i="6" s="1"/>
  <c r="D81" i="6"/>
  <c r="G81" i="6" s="1"/>
  <c r="D30" i="6"/>
  <c r="G30" i="6" s="1"/>
  <c r="C30" i="6"/>
  <c r="E30" i="6" s="1"/>
  <c r="D60" i="6"/>
  <c r="G60" i="6" s="1"/>
  <c r="C60" i="6"/>
  <c r="E60" i="6" s="1"/>
  <c r="D94" i="6"/>
  <c r="G94" i="6" s="1"/>
  <c r="C94" i="6"/>
  <c r="E94" i="6" s="1"/>
  <c r="AK605" i="12"/>
  <c r="AB605" i="12"/>
  <c r="AF605" i="12" s="1"/>
  <c r="AJ605" i="12"/>
  <c r="AC605" i="12"/>
  <c r="AD605" i="12" s="1"/>
  <c r="AG605" i="12" s="1"/>
  <c r="AA605" i="12"/>
  <c r="P607" i="12"/>
  <c r="R606" i="12"/>
  <c r="Q606" i="12"/>
  <c r="C47" i="6"/>
  <c r="E47" i="6" s="1"/>
  <c r="D47" i="6"/>
  <c r="G47" i="6" s="1"/>
  <c r="D15" i="6"/>
  <c r="G15" i="6" s="1"/>
  <c r="C15" i="6"/>
  <c r="W604" i="12"/>
  <c r="V605" i="12"/>
  <c r="D17" i="6"/>
  <c r="G17" i="6" s="1"/>
  <c r="C17" i="6"/>
  <c r="D110" i="6"/>
  <c r="G110" i="6" s="1"/>
  <c r="C110" i="6"/>
  <c r="E110" i="6" s="1"/>
  <c r="D80" i="6"/>
  <c r="G80" i="6" s="1"/>
  <c r="C80" i="6"/>
  <c r="E80" i="6" s="1"/>
  <c r="D29" i="6"/>
  <c r="G29" i="6" s="1"/>
  <c r="C29" i="6"/>
  <c r="E29" i="6" s="1"/>
  <c r="I29" i="6" s="1"/>
  <c r="C97" i="6"/>
  <c r="E97" i="6" s="1"/>
  <c r="D97" i="6"/>
  <c r="G97" i="6" s="1"/>
  <c r="C77" i="6"/>
  <c r="E77" i="6" s="1"/>
  <c r="D77" i="6"/>
  <c r="G77" i="6" s="1"/>
  <c r="C79" i="6"/>
  <c r="E79" i="6" s="1"/>
  <c r="D79" i="6"/>
  <c r="G79" i="6" s="1"/>
  <c r="D102" i="6"/>
  <c r="G102" i="6" s="1"/>
  <c r="C102" i="6"/>
  <c r="E102" i="6" s="1"/>
  <c r="D107" i="6"/>
  <c r="G107" i="6" s="1"/>
  <c r="C107" i="6"/>
  <c r="E107" i="6" s="1"/>
  <c r="D38" i="6"/>
  <c r="G38" i="6" s="1"/>
  <c r="C38" i="6"/>
  <c r="E38" i="6" s="1"/>
  <c r="C53" i="6"/>
  <c r="E53" i="6" s="1"/>
  <c r="D53" i="6"/>
  <c r="G53" i="6" s="1"/>
  <c r="D28" i="6"/>
  <c r="G28" i="6" s="1"/>
  <c r="C28" i="6"/>
  <c r="E28" i="6" s="1"/>
  <c r="I28" i="6" s="1"/>
  <c r="D85" i="6"/>
  <c r="G85" i="6" s="1"/>
  <c r="C85" i="6"/>
  <c r="E85" i="6" s="1"/>
  <c r="D40" i="6"/>
  <c r="G40" i="6" s="1"/>
  <c r="C40" i="6"/>
  <c r="E40" i="6" s="1"/>
  <c r="D67" i="6"/>
  <c r="G67" i="6" s="1"/>
  <c r="C67" i="6"/>
  <c r="E67" i="6" s="1"/>
  <c r="D49" i="6"/>
  <c r="G49" i="6" s="1"/>
  <c r="C49" i="6"/>
  <c r="E49" i="6" s="1"/>
  <c r="D65" i="6"/>
  <c r="G65" i="6" s="1"/>
  <c r="C65" i="6"/>
  <c r="E65" i="6" s="1"/>
  <c r="C20" i="6"/>
  <c r="D20" i="6"/>
  <c r="G20" i="6" s="1"/>
  <c r="C113" i="6"/>
  <c r="E113" i="6" s="1"/>
  <c r="D113" i="6"/>
  <c r="G113" i="6" s="1"/>
  <c r="C46" i="6"/>
  <c r="E46" i="6" s="1"/>
  <c r="D46" i="6"/>
  <c r="G46" i="6" s="1"/>
  <c r="C91" i="6"/>
  <c r="E91" i="6" s="1"/>
  <c r="D91" i="6"/>
  <c r="G91" i="6" s="1"/>
  <c r="D25" i="6"/>
  <c r="G25" i="6" s="1"/>
  <c r="C25" i="6"/>
  <c r="E25" i="6" s="1"/>
  <c r="I25" i="6" s="1"/>
  <c r="AD604" i="12"/>
  <c r="AG604" i="12" s="1"/>
  <c r="A607" i="12"/>
  <c r="S606" i="12"/>
  <c r="B606" i="12"/>
  <c r="AI605" i="12"/>
  <c r="T606" i="12"/>
  <c r="U605" i="12"/>
  <c r="AI606" i="12" l="1"/>
  <c r="E13" i="5"/>
  <c r="AB13" i="5" s="1"/>
  <c r="F69" i="5"/>
  <c r="AC69" i="5" s="1"/>
  <c r="F31" i="5"/>
  <c r="AC31" i="5" s="1"/>
  <c r="E35" i="5"/>
  <c r="AB35" i="5" s="1"/>
  <c r="E82" i="5"/>
  <c r="AB82" i="5" s="1"/>
  <c r="F110" i="5"/>
  <c r="AC110" i="5" s="1"/>
  <c r="F95" i="5"/>
  <c r="AC95" i="5" s="1"/>
  <c r="E89" i="5"/>
  <c r="AB89" i="5" s="1"/>
  <c r="F35" i="5"/>
  <c r="AC35" i="5" s="1"/>
  <c r="F52" i="5"/>
  <c r="AC52" i="5" s="1"/>
  <c r="F23" i="5"/>
  <c r="AC23" i="5" s="1"/>
  <c r="E94" i="5"/>
  <c r="AB94" i="5" s="1"/>
  <c r="F73" i="5"/>
  <c r="AC73" i="5" s="1"/>
  <c r="F99" i="5"/>
  <c r="AC99" i="5" s="1"/>
  <c r="F48" i="5"/>
  <c r="AC48" i="5" s="1"/>
  <c r="F44" i="5"/>
  <c r="AC44" i="5" s="1"/>
  <c r="F39" i="5"/>
  <c r="AC39" i="5" s="1"/>
  <c r="E15" i="5"/>
  <c r="AB15" i="5" s="1"/>
  <c r="E99" i="5"/>
  <c r="AB99" i="5" s="1"/>
  <c r="F101" i="5"/>
  <c r="AC101" i="5" s="1"/>
  <c r="F102" i="5"/>
  <c r="AC102" i="5" s="1"/>
  <c r="F36" i="5"/>
  <c r="AC36" i="5" s="1"/>
  <c r="F83" i="5"/>
  <c r="AC83" i="5" s="1"/>
  <c r="E84" i="5"/>
  <c r="AB84" i="5" s="1"/>
  <c r="E12" i="5"/>
  <c r="E102" i="5"/>
  <c r="AB102" i="5" s="1"/>
  <c r="E25" i="5"/>
  <c r="AB25" i="5" s="1"/>
  <c r="E57" i="5"/>
  <c r="AB57" i="5" s="1"/>
  <c r="E62" i="5"/>
  <c r="AB62" i="5" s="1"/>
  <c r="E83" i="5"/>
  <c r="AB83" i="5" s="1"/>
  <c r="E113" i="5"/>
  <c r="AB113" i="5" s="1"/>
  <c r="E114" i="5"/>
  <c r="AB114" i="5" s="1"/>
  <c r="F62" i="5"/>
  <c r="AC62" i="5" s="1"/>
  <c r="F89" i="5"/>
  <c r="AC89" i="5" s="1"/>
  <c r="F40" i="5"/>
  <c r="AC40" i="5" s="1"/>
  <c r="F57" i="5"/>
  <c r="AC57" i="5" s="1"/>
  <c r="F82" i="5"/>
  <c r="AC82" i="5" s="1"/>
  <c r="F113" i="5"/>
  <c r="AC113" i="5" s="1"/>
  <c r="F94" i="5"/>
  <c r="AC94" i="5" s="1"/>
  <c r="E68" i="5"/>
  <c r="AB68" i="5" s="1"/>
  <c r="E101" i="5"/>
  <c r="AB101" i="5" s="1"/>
  <c r="E81" i="5"/>
  <c r="AB81" i="5" s="1"/>
  <c r="E95" i="5"/>
  <c r="AB95" i="5" s="1"/>
  <c r="E40" i="5"/>
  <c r="AB40" i="5" s="1"/>
  <c r="E110" i="5"/>
  <c r="AB110" i="5" s="1"/>
  <c r="F12" i="5"/>
  <c r="AC12" i="5" s="1"/>
  <c r="F70" i="5"/>
  <c r="AC70" i="5" s="1"/>
  <c r="F13" i="5"/>
  <c r="AC13" i="5" s="1"/>
  <c r="F33" i="5"/>
  <c r="AC33" i="5" s="1"/>
  <c r="F29" i="5"/>
  <c r="AC29" i="5" s="1"/>
  <c r="F68" i="5"/>
  <c r="AC68" i="5" s="1"/>
  <c r="F81" i="5"/>
  <c r="AC81" i="5" s="1"/>
  <c r="F58" i="5"/>
  <c r="AC58" i="5" s="1"/>
  <c r="F85" i="5"/>
  <c r="AC85" i="5" s="1"/>
  <c r="F114" i="5"/>
  <c r="AC114" i="5" s="1"/>
  <c r="F53" i="5"/>
  <c r="AC53" i="5" s="1"/>
  <c r="F15" i="5"/>
  <c r="AC15" i="5" s="1"/>
  <c r="E70" i="5"/>
  <c r="AB70" i="5" s="1"/>
  <c r="E36" i="5"/>
  <c r="AB36" i="5" s="1"/>
  <c r="E59" i="5"/>
  <c r="AB59" i="5" s="1"/>
  <c r="E33" i="5"/>
  <c r="AB33" i="5" s="1"/>
  <c r="E44" i="5"/>
  <c r="AB44" i="5" s="1"/>
  <c r="E73" i="5"/>
  <c r="AB73" i="5" s="1"/>
  <c r="F115" i="5"/>
  <c r="AC115" i="5" s="1"/>
  <c r="F78" i="5"/>
  <c r="AC78" i="5" s="1"/>
  <c r="F25" i="5"/>
  <c r="AC25" i="5" s="1"/>
  <c r="F17" i="5"/>
  <c r="AC17" i="5" s="1"/>
  <c r="X606" i="12"/>
  <c r="Y606" i="12"/>
  <c r="E19" i="6"/>
  <c r="I19" i="6" s="1"/>
  <c r="E21" i="6"/>
  <c r="I21" i="6" s="1"/>
  <c r="E20" i="6"/>
  <c r="E12" i="6"/>
  <c r="E17" i="6"/>
  <c r="I17" i="6" s="1"/>
  <c r="E15" i="6"/>
  <c r="I15" i="6" s="1"/>
  <c r="E14" i="6"/>
  <c r="E18" i="6"/>
  <c r="I18" i="6" s="1"/>
  <c r="E16" i="6"/>
  <c r="E13" i="6"/>
  <c r="E21" i="5"/>
  <c r="AB21" i="5" s="1"/>
  <c r="F88" i="5"/>
  <c r="AC88" i="5" s="1"/>
  <c r="F37" i="5"/>
  <c r="AC37" i="5" s="1"/>
  <c r="F21" i="5"/>
  <c r="AC21" i="5" s="1"/>
  <c r="F32" i="5"/>
  <c r="AC32" i="5" s="1"/>
  <c r="F103" i="5"/>
  <c r="AC103" i="5" s="1"/>
  <c r="E87" i="5"/>
  <c r="AB87" i="5" s="1"/>
  <c r="E26" i="5"/>
  <c r="AB26" i="5" s="1"/>
  <c r="E56" i="5"/>
  <c r="AB56" i="5" s="1"/>
  <c r="E61" i="5"/>
  <c r="AB61" i="5" s="1"/>
  <c r="E111" i="5"/>
  <c r="AB111" i="5" s="1"/>
  <c r="E32" i="5"/>
  <c r="AB32" i="5" s="1"/>
  <c r="E103" i="5"/>
  <c r="AB103" i="5" s="1"/>
  <c r="E108" i="5"/>
  <c r="AB108" i="5" s="1"/>
  <c r="E47" i="5"/>
  <c r="AB47" i="5" s="1"/>
  <c r="E67" i="5"/>
  <c r="AB67" i="5" s="1"/>
  <c r="E10" i="5"/>
  <c r="E91" i="5"/>
  <c r="AB91" i="5" s="1"/>
  <c r="E20" i="5"/>
  <c r="AB20" i="5" s="1"/>
  <c r="E63" i="5"/>
  <c r="AB63" i="5" s="1"/>
  <c r="F26" i="5"/>
  <c r="AC26" i="5" s="1"/>
  <c r="F56" i="5"/>
  <c r="AC56" i="5" s="1"/>
  <c r="F67" i="5"/>
  <c r="AC67" i="5" s="1"/>
  <c r="E19" i="5"/>
  <c r="AB19" i="5" s="1"/>
  <c r="E97" i="5"/>
  <c r="AB97" i="5" s="1"/>
  <c r="F46" i="5"/>
  <c r="AC46" i="5" s="1"/>
  <c r="F74" i="5"/>
  <c r="AC74" i="5" s="1"/>
  <c r="F20" i="5"/>
  <c r="AC20" i="5" s="1"/>
  <c r="F61" i="5"/>
  <c r="AC61" i="5" s="1"/>
  <c r="F97" i="5"/>
  <c r="AC97" i="5" s="1"/>
  <c r="E88" i="5"/>
  <c r="AB88" i="5" s="1"/>
  <c r="E45" i="5"/>
  <c r="AB45" i="5" s="1"/>
  <c r="F45" i="5"/>
  <c r="AC45" i="5" s="1"/>
  <c r="F16" i="5"/>
  <c r="AC16" i="5" s="1"/>
  <c r="F109" i="5"/>
  <c r="AC109" i="5" s="1"/>
  <c r="F63" i="5"/>
  <c r="AC63" i="5" s="1"/>
  <c r="F47" i="5"/>
  <c r="AC47" i="5" s="1"/>
  <c r="F72" i="5"/>
  <c r="AC72" i="5" s="1"/>
  <c r="F22" i="5"/>
  <c r="AC22" i="5" s="1"/>
  <c r="F98" i="5"/>
  <c r="AC98" i="5" s="1"/>
  <c r="AE12" i="5"/>
  <c r="AE13" i="5" s="1"/>
  <c r="AE14" i="5" s="1"/>
  <c r="AE15" i="5" s="1"/>
  <c r="AE16" i="5" s="1"/>
  <c r="AE17" i="5" s="1"/>
  <c r="AE18" i="5" s="1"/>
  <c r="AE19" i="5" s="1"/>
  <c r="AE20" i="5" s="1"/>
  <c r="AE21" i="5" s="1"/>
  <c r="AE22" i="5" s="1"/>
  <c r="AE23" i="5" s="1"/>
  <c r="AE24" i="5" s="1"/>
  <c r="AE25" i="5" s="1"/>
  <c r="AE26" i="5" s="1"/>
  <c r="AE27" i="5" s="1"/>
  <c r="AE28" i="5" s="1"/>
  <c r="AE29" i="5" s="1"/>
  <c r="AE30" i="5" s="1"/>
  <c r="AE31" i="5" s="1"/>
  <c r="AE32" i="5" s="1"/>
  <c r="AE33" i="5" s="1"/>
  <c r="AE34" i="5" s="1"/>
  <c r="AE35" i="5" s="1"/>
  <c r="AE36" i="5" s="1"/>
  <c r="AE37" i="5" s="1"/>
  <c r="AE38" i="5" s="1"/>
  <c r="AE39" i="5" s="1"/>
  <c r="AE40" i="5" s="1"/>
  <c r="AE41" i="5" s="1"/>
  <c r="AE42" i="5" s="1"/>
  <c r="AE43" i="5" s="1"/>
  <c r="AE44" i="5" s="1"/>
  <c r="AE45" i="5" s="1"/>
  <c r="AE46" i="5" s="1"/>
  <c r="AE47" i="5" s="1"/>
  <c r="AE48" i="5" s="1"/>
  <c r="AE49" i="5" s="1"/>
  <c r="AE50" i="5" s="1"/>
  <c r="AE51" i="5" s="1"/>
  <c r="AE52" i="5" s="1"/>
  <c r="AE53" i="5" s="1"/>
  <c r="AE54" i="5" s="1"/>
  <c r="AE55" i="5" s="1"/>
  <c r="AE56" i="5" s="1"/>
  <c r="AE57" i="5" s="1"/>
  <c r="AE58" i="5" s="1"/>
  <c r="AE59" i="5" s="1"/>
  <c r="AE60" i="5" s="1"/>
  <c r="AE61" i="5" s="1"/>
  <c r="AE62" i="5" s="1"/>
  <c r="AE63" i="5" s="1"/>
  <c r="AE64" i="5" s="1"/>
  <c r="AE65" i="5" s="1"/>
  <c r="AE66" i="5" s="1"/>
  <c r="AE67" i="5" s="1"/>
  <c r="AE68" i="5" s="1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E80" i="5" s="1"/>
  <c r="AE81" i="5" s="1"/>
  <c r="AE82" i="5" s="1"/>
  <c r="AE83" i="5" s="1"/>
  <c r="AE84" i="5" s="1"/>
  <c r="AE85" i="5" s="1"/>
  <c r="AE86" i="5" s="1"/>
  <c r="AE87" i="5" s="1"/>
  <c r="AE88" i="5" s="1"/>
  <c r="AE89" i="5" s="1"/>
  <c r="AE90" i="5" s="1"/>
  <c r="AE91" i="5" s="1"/>
  <c r="AE92" i="5" s="1"/>
  <c r="AE93" i="5" s="1"/>
  <c r="AE94" i="5" s="1"/>
  <c r="AE95" i="5" s="1"/>
  <c r="AE96" i="5" s="1"/>
  <c r="AE97" i="5" s="1"/>
  <c r="AE98" i="5" s="1"/>
  <c r="AE99" i="5" s="1"/>
  <c r="AE100" i="5" s="1"/>
  <c r="AE101" i="5" s="1"/>
  <c r="AE102" i="5" s="1"/>
  <c r="AE103" i="5" s="1"/>
  <c r="AE104" i="5" s="1"/>
  <c r="AE105" i="5" s="1"/>
  <c r="AE106" i="5" s="1"/>
  <c r="AE107" i="5" s="1"/>
  <c r="AE108" i="5" s="1"/>
  <c r="AE109" i="5" s="1"/>
  <c r="AE110" i="5" s="1"/>
  <c r="AE111" i="5" s="1"/>
  <c r="AE112" i="5" s="1"/>
  <c r="AE113" i="5" s="1"/>
  <c r="AE114" i="5" s="1"/>
  <c r="AE115" i="5" s="1"/>
  <c r="F28" i="5"/>
  <c r="AC28" i="5" s="1"/>
  <c r="F91" i="5"/>
  <c r="AC91" i="5" s="1"/>
  <c r="F10" i="5"/>
  <c r="AC10" i="5" s="1"/>
  <c r="F19" i="5"/>
  <c r="AC19" i="5" s="1"/>
  <c r="E16" i="5"/>
  <c r="AB16" i="5" s="1"/>
  <c r="E22" i="5"/>
  <c r="AB22" i="5" s="1"/>
  <c r="F24" i="5"/>
  <c r="AC24" i="5" s="1"/>
  <c r="U12" i="5"/>
  <c r="L12" i="5" s="1"/>
  <c r="P11" i="6"/>
  <c r="P12" i="6" s="1"/>
  <c r="P13" i="6" s="1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s="1"/>
  <c r="P43" i="6" s="1"/>
  <c r="P44" i="6" s="1"/>
  <c r="P45" i="6" s="1"/>
  <c r="P46" i="6" s="1"/>
  <c r="P47" i="6" s="1"/>
  <c r="P48" i="6" s="1"/>
  <c r="P49" i="6" s="1"/>
  <c r="P50" i="6" s="1"/>
  <c r="P51" i="6" s="1"/>
  <c r="P52" i="6" s="1"/>
  <c r="P53" i="6" s="1"/>
  <c r="P54" i="6" s="1"/>
  <c r="P55" i="6" s="1"/>
  <c r="P56" i="6" s="1"/>
  <c r="P57" i="6" s="1"/>
  <c r="P58" i="6" s="1"/>
  <c r="P59" i="6" s="1"/>
  <c r="P60" i="6" s="1"/>
  <c r="P61" i="6" s="1"/>
  <c r="P62" i="6" s="1"/>
  <c r="P63" i="6" s="1"/>
  <c r="P64" i="6" s="1"/>
  <c r="P65" i="6" s="1"/>
  <c r="P66" i="6" s="1"/>
  <c r="P67" i="6" s="1"/>
  <c r="P68" i="6" s="1"/>
  <c r="P69" i="6" s="1"/>
  <c r="P70" i="6" s="1"/>
  <c r="P71" i="6" s="1"/>
  <c r="P72" i="6" s="1"/>
  <c r="P73" i="6" s="1"/>
  <c r="P74" i="6" s="1"/>
  <c r="P75" i="6" s="1"/>
  <c r="P76" i="6" s="1"/>
  <c r="P77" i="6" s="1"/>
  <c r="P78" i="6" s="1"/>
  <c r="P79" i="6" s="1"/>
  <c r="P80" i="6" s="1"/>
  <c r="P81" i="6" s="1"/>
  <c r="P82" i="6" s="1"/>
  <c r="P83" i="6" s="1"/>
  <c r="P84" i="6" s="1"/>
  <c r="P85" i="6" s="1"/>
  <c r="P86" i="6" s="1"/>
  <c r="P87" i="6" s="1"/>
  <c r="P88" i="6" s="1"/>
  <c r="P89" i="6" s="1"/>
  <c r="P90" i="6" s="1"/>
  <c r="P91" i="6" s="1"/>
  <c r="P92" i="6" s="1"/>
  <c r="P93" i="6" s="1"/>
  <c r="P94" i="6" s="1"/>
  <c r="P95" i="6" s="1"/>
  <c r="P96" i="6" s="1"/>
  <c r="P97" i="6" s="1"/>
  <c r="P98" i="6" s="1"/>
  <c r="P99" i="6" s="1"/>
  <c r="P100" i="6" s="1"/>
  <c r="P101" i="6" s="1"/>
  <c r="P102" i="6" s="1"/>
  <c r="P103" i="6" s="1"/>
  <c r="P104" i="6" s="1"/>
  <c r="P105" i="6" s="1"/>
  <c r="P106" i="6" s="1"/>
  <c r="P107" i="6" s="1"/>
  <c r="P108" i="6" s="1"/>
  <c r="P109" i="6" s="1"/>
  <c r="P110" i="6" s="1"/>
  <c r="P111" i="6" s="1"/>
  <c r="P112" i="6" s="1"/>
  <c r="P113" i="6" s="1"/>
  <c r="P114" i="6" s="1"/>
  <c r="P115" i="6" s="1"/>
  <c r="Q11" i="6"/>
  <c r="Q12" i="6" s="1"/>
  <c r="Q13" i="6" s="1"/>
  <c r="Q14" i="6" s="1"/>
  <c r="L10" i="5"/>
  <c r="Y10" i="5"/>
  <c r="N10" i="5" s="1"/>
  <c r="AB12" i="5"/>
  <c r="Y11" i="5"/>
  <c r="N11" i="5" s="1"/>
  <c r="L11" i="5"/>
  <c r="AB10" i="5"/>
  <c r="H10" i="5"/>
  <c r="H11" i="5" s="1"/>
  <c r="H12" i="5" s="1"/>
  <c r="H13" i="5" s="1"/>
  <c r="H14" i="5" s="1"/>
  <c r="H15" i="5" s="1"/>
  <c r="H16" i="5" s="1"/>
  <c r="H17" i="5" s="1"/>
  <c r="H18" i="5" s="1"/>
  <c r="J14" i="5"/>
  <c r="S607" i="12"/>
  <c r="A608" i="12"/>
  <c r="B607" i="12"/>
  <c r="V606" i="12"/>
  <c r="W605" i="12"/>
  <c r="AK606" i="12"/>
  <c r="AB606" i="12"/>
  <c r="AF606" i="12" s="1"/>
  <c r="AJ606" i="12"/>
  <c r="AC606" i="12"/>
  <c r="AA606" i="12"/>
  <c r="T607" i="12"/>
  <c r="U606" i="12"/>
  <c r="P608" i="12"/>
  <c r="Q607" i="12"/>
  <c r="R607" i="12"/>
  <c r="Q15" i="6" l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39" i="6" s="1"/>
  <c r="Q40" i="6" s="1"/>
  <c r="Q41" i="6" s="1"/>
  <c r="Q42" i="6" s="1"/>
  <c r="Q43" i="6" s="1"/>
  <c r="Q44" i="6" s="1"/>
  <c r="Q45" i="6" s="1"/>
  <c r="Q46" i="6" s="1"/>
  <c r="Q47" i="6" s="1"/>
  <c r="Q48" i="6" s="1"/>
  <c r="Q49" i="6" s="1"/>
  <c r="Q50" i="6" s="1"/>
  <c r="Q51" i="6" s="1"/>
  <c r="Q52" i="6" s="1"/>
  <c r="Q53" i="6" s="1"/>
  <c r="Q54" i="6" s="1"/>
  <c r="Q55" i="6" s="1"/>
  <c r="Q56" i="6" s="1"/>
  <c r="Q57" i="6" s="1"/>
  <c r="Q58" i="6" s="1"/>
  <c r="Q59" i="6" s="1"/>
  <c r="Q60" i="6" s="1"/>
  <c r="Q61" i="6" s="1"/>
  <c r="Q62" i="6" s="1"/>
  <c r="Q63" i="6" s="1"/>
  <c r="Q64" i="6" s="1"/>
  <c r="Q65" i="6" s="1"/>
  <c r="Q66" i="6" s="1"/>
  <c r="Q67" i="6" s="1"/>
  <c r="Q68" i="6" s="1"/>
  <c r="Q69" i="6" s="1"/>
  <c r="Q70" i="6" s="1"/>
  <c r="Q71" i="6" s="1"/>
  <c r="Q72" i="6" s="1"/>
  <c r="Q73" i="6" s="1"/>
  <c r="Q74" i="6" s="1"/>
  <c r="Q75" i="6" s="1"/>
  <c r="Q76" i="6" s="1"/>
  <c r="Q77" i="6" s="1"/>
  <c r="Q78" i="6" s="1"/>
  <c r="Q79" i="6" s="1"/>
  <c r="Q80" i="6" s="1"/>
  <c r="Q81" i="6" s="1"/>
  <c r="Q82" i="6" s="1"/>
  <c r="Q83" i="6" s="1"/>
  <c r="Q84" i="6" s="1"/>
  <c r="Q85" i="6" s="1"/>
  <c r="Q86" i="6" s="1"/>
  <c r="Q87" i="6" s="1"/>
  <c r="Q88" i="6" s="1"/>
  <c r="Q89" i="6" s="1"/>
  <c r="Q90" i="6" s="1"/>
  <c r="Q91" i="6" s="1"/>
  <c r="Q92" i="6" s="1"/>
  <c r="Q93" i="6" s="1"/>
  <c r="Q94" i="6" s="1"/>
  <c r="Q95" i="6" s="1"/>
  <c r="Q96" i="6" s="1"/>
  <c r="Q97" i="6" s="1"/>
  <c r="Q98" i="6" s="1"/>
  <c r="Q99" i="6" s="1"/>
  <c r="Q100" i="6" s="1"/>
  <c r="Q101" i="6" s="1"/>
  <c r="Q102" i="6" s="1"/>
  <c r="Q103" i="6" s="1"/>
  <c r="Q104" i="6" s="1"/>
  <c r="Q105" i="6" s="1"/>
  <c r="Q106" i="6" s="1"/>
  <c r="Q107" i="6" s="1"/>
  <c r="Q108" i="6" s="1"/>
  <c r="Q109" i="6" s="1"/>
  <c r="Q110" i="6" s="1"/>
  <c r="Q111" i="6" s="1"/>
  <c r="Q112" i="6" s="1"/>
  <c r="Q113" i="6" s="1"/>
  <c r="Q114" i="6" s="1"/>
  <c r="Q115" i="6" s="1"/>
  <c r="X607" i="12"/>
  <c r="Y607" i="12"/>
  <c r="H19" i="5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AD606" i="12"/>
  <c r="AG606" i="12" s="1"/>
  <c r="AC116" i="5"/>
  <c r="AD12" i="5"/>
  <c r="Y12" i="5"/>
  <c r="N12" i="5" s="1"/>
  <c r="AG12" i="5" s="1"/>
  <c r="U13" i="5"/>
  <c r="U14" i="5" s="1"/>
  <c r="AB116" i="5"/>
  <c r="AF12" i="5"/>
  <c r="P10" i="5"/>
  <c r="P11" i="5" s="1"/>
  <c r="P12" i="5" s="1"/>
  <c r="AA10" i="5"/>
  <c r="AA11" i="5" s="1"/>
  <c r="AI607" i="12"/>
  <c r="J15" i="5"/>
  <c r="P609" i="12"/>
  <c r="R608" i="12"/>
  <c r="Q608" i="12"/>
  <c r="T608" i="12"/>
  <c r="U607" i="12"/>
  <c r="AK607" i="12"/>
  <c r="AB607" i="12"/>
  <c r="AF607" i="12" s="1"/>
  <c r="AJ607" i="12"/>
  <c r="AC607" i="12"/>
  <c r="AA607" i="12"/>
  <c r="A609" i="12"/>
  <c r="S608" i="12"/>
  <c r="B608" i="12"/>
  <c r="W606" i="12"/>
  <c r="V607" i="12"/>
  <c r="AI608" i="12" l="1"/>
  <c r="Y13" i="5"/>
  <c r="N13" i="5" s="1"/>
  <c r="L13" i="5"/>
  <c r="AF13" i="5" s="1"/>
  <c r="N15" i="5"/>
  <c r="AD13" i="5"/>
  <c r="AA12" i="5"/>
  <c r="AA13" i="5" s="1"/>
  <c r="X608" i="12"/>
  <c r="Y608" i="12"/>
  <c r="AD14" i="5"/>
  <c r="P13" i="5"/>
  <c r="U15" i="5"/>
  <c r="Y15" i="5" s="1"/>
  <c r="Y14" i="5"/>
  <c r="N14" i="5" s="1"/>
  <c r="L14" i="5"/>
  <c r="AG13" i="5"/>
  <c r="J16" i="5"/>
  <c r="AD607" i="12"/>
  <c r="AG607" i="12" s="1"/>
  <c r="V608" i="12"/>
  <c r="W607" i="12"/>
  <c r="S609" i="12"/>
  <c r="A610" i="12"/>
  <c r="B609" i="12"/>
  <c r="AK608" i="12"/>
  <c r="AJ608" i="12"/>
  <c r="AB608" i="12"/>
  <c r="AF608" i="12" s="1"/>
  <c r="AC608" i="12"/>
  <c r="AA608" i="12"/>
  <c r="T609" i="12"/>
  <c r="U609" i="12" s="1"/>
  <c r="U608" i="12"/>
  <c r="P610" i="12"/>
  <c r="Q609" i="12"/>
  <c r="R609" i="12"/>
  <c r="AF14" i="5" l="1"/>
  <c r="X609" i="12"/>
  <c r="Y609" i="12"/>
  <c r="AG14" i="5"/>
  <c r="P14" i="5"/>
  <c r="AA14" i="5"/>
  <c r="L15" i="5"/>
  <c r="AF15" i="5" s="1"/>
  <c r="U16" i="5"/>
  <c r="AD15" i="5"/>
  <c r="J17" i="5"/>
  <c r="P611" i="12"/>
  <c r="R610" i="12"/>
  <c r="Q610" i="12"/>
  <c r="AI609" i="12"/>
  <c r="AK609" i="12"/>
  <c r="AB609" i="12"/>
  <c r="AF609" i="12" s="1"/>
  <c r="AJ609" i="12"/>
  <c r="AC609" i="12"/>
  <c r="AA609" i="12"/>
  <c r="T610" i="12"/>
  <c r="U610" i="12" s="1"/>
  <c r="AD608" i="12"/>
  <c r="AG608" i="12" s="1"/>
  <c r="A611" i="12"/>
  <c r="S610" i="12"/>
  <c r="B610" i="12"/>
  <c r="W608" i="12"/>
  <c r="V609" i="12"/>
  <c r="AI610" i="12" l="1"/>
  <c r="X610" i="12"/>
  <c r="Y610" i="12"/>
  <c r="AG15" i="5"/>
  <c r="P15" i="5"/>
  <c r="Y16" i="5"/>
  <c r="N16" i="5" s="1"/>
  <c r="AD16" i="5"/>
  <c r="L16" i="5"/>
  <c r="AF16" i="5" s="1"/>
  <c r="U17" i="5"/>
  <c r="AA15" i="5"/>
  <c r="AD609" i="12"/>
  <c r="AG609" i="12" s="1"/>
  <c r="J18" i="5"/>
  <c r="V610" i="12"/>
  <c r="W609" i="12"/>
  <c r="A612" i="12"/>
  <c r="S611" i="12"/>
  <c r="B611" i="12"/>
  <c r="AB610" i="12"/>
  <c r="AF610" i="12" s="1"/>
  <c r="AK610" i="12"/>
  <c r="AA610" i="12"/>
  <c r="AJ610" i="12"/>
  <c r="AC610" i="12"/>
  <c r="AD610" i="12" s="1"/>
  <c r="AG610" i="12" s="1"/>
  <c r="T611" i="12"/>
  <c r="Q611" i="12"/>
  <c r="P612" i="12"/>
  <c r="R611" i="12"/>
  <c r="X611" i="12" l="1"/>
  <c r="Y611" i="12"/>
  <c r="AG16" i="5"/>
  <c r="AA16" i="5"/>
  <c r="P16" i="5"/>
  <c r="Y17" i="5"/>
  <c r="N17" i="5" s="1"/>
  <c r="L17" i="5"/>
  <c r="AF17" i="5" s="1"/>
  <c r="AD17" i="5"/>
  <c r="U18" i="5"/>
  <c r="AI611" i="12"/>
  <c r="J19" i="5"/>
  <c r="A613" i="12"/>
  <c r="S612" i="12"/>
  <c r="B612" i="12"/>
  <c r="T612" i="12"/>
  <c r="U611" i="12"/>
  <c r="P613" i="12"/>
  <c r="R612" i="12"/>
  <c r="Q612" i="12"/>
  <c r="AB611" i="12"/>
  <c r="AF611" i="12" s="1"/>
  <c r="AA611" i="12"/>
  <c r="AJ611" i="12"/>
  <c r="AC611" i="12"/>
  <c r="AK611" i="12"/>
  <c r="W610" i="12"/>
  <c r="V611" i="12"/>
  <c r="P17" i="5" l="1"/>
  <c r="X612" i="12"/>
  <c r="Y612" i="12"/>
  <c r="AG17" i="5"/>
  <c r="AI612" i="12"/>
  <c r="AA17" i="5"/>
  <c r="Y18" i="5"/>
  <c r="N18" i="5" s="1"/>
  <c r="P18" i="5" s="1"/>
  <c r="AD18" i="5"/>
  <c r="U19" i="5"/>
  <c r="J20" i="5"/>
  <c r="Q613" i="12"/>
  <c r="P614" i="12"/>
  <c r="R613" i="12"/>
  <c r="T613" i="12"/>
  <c r="U613" i="12" s="1"/>
  <c r="U612" i="12"/>
  <c r="A614" i="12"/>
  <c r="S613" i="12"/>
  <c r="B613" i="12"/>
  <c r="V612" i="12"/>
  <c r="W611" i="12"/>
  <c r="AD611" i="12"/>
  <c r="AG611" i="12" s="1"/>
  <c r="AB612" i="12"/>
  <c r="AF612" i="12" s="1"/>
  <c r="AJ612" i="12"/>
  <c r="AC612" i="12"/>
  <c r="AA612" i="12"/>
  <c r="AK612" i="12"/>
  <c r="X613" i="12" l="1"/>
  <c r="Y613" i="12"/>
  <c r="AD612" i="12"/>
  <c r="AG612" i="12" s="1"/>
  <c r="AI613" i="12"/>
  <c r="AA18" i="5"/>
  <c r="AG18" i="5"/>
  <c r="L18" i="5"/>
  <c r="AF18" i="5" s="1"/>
  <c r="AD19" i="5"/>
  <c r="Y19" i="5"/>
  <c r="N19" i="5" s="1"/>
  <c r="L19" i="5"/>
  <c r="U20" i="5"/>
  <c r="J21" i="5"/>
  <c r="W612" i="12"/>
  <c r="V613" i="12"/>
  <c r="T614" i="12"/>
  <c r="A615" i="12"/>
  <c r="S614" i="12"/>
  <c r="B614" i="12"/>
  <c r="P615" i="12"/>
  <c r="R614" i="12"/>
  <c r="Q614" i="12"/>
  <c r="AB613" i="12"/>
  <c r="AF613" i="12" s="1"/>
  <c r="AA613" i="12"/>
  <c r="AJ613" i="12"/>
  <c r="AC613" i="12"/>
  <c r="AD613" i="12" s="1"/>
  <c r="AG613" i="12" s="1"/>
  <c r="AK613" i="12"/>
  <c r="AA19" i="5" l="1"/>
  <c r="X614" i="12"/>
  <c r="Y614" i="12"/>
  <c r="AI614" i="12"/>
  <c r="AF19" i="5"/>
  <c r="Y20" i="5"/>
  <c r="N20" i="5" s="1"/>
  <c r="L20" i="5"/>
  <c r="AD20" i="5"/>
  <c r="U21" i="5"/>
  <c r="AG19" i="5"/>
  <c r="AG20" i="5" s="1"/>
  <c r="P19" i="5"/>
  <c r="J22" i="5"/>
  <c r="Q615" i="12"/>
  <c r="P616" i="12"/>
  <c r="R615" i="12"/>
  <c r="A616" i="12"/>
  <c r="S615" i="12"/>
  <c r="B615" i="12"/>
  <c r="AI615" i="12"/>
  <c r="AB614" i="12"/>
  <c r="AF614" i="12" s="1"/>
  <c r="AK614" i="12"/>
  <c r="AC614" i="12"/>
  <c r="AA614" i="12"/>
  <c r="AJ614" i="12"/>
  <c r="T615" i="12"/>
  <c r="U614" i="12"/>
  <c r="V614" i="12"/>
  <c r="W613" i="12"/>
  <c r="AA20" i="5" l="1"/>
  <c r="X615" i="12"/>
  <c r="Y615" i="12"/>
  <c r="P20" i="5"/>
  <c r="AF20" i="5"/>
  <c r="Y21" i="5"/>
  <c r="N21" i="5" s="1"/>
  <c r="AG21" i="5" s="1"/>
  <c r="AD21" i="5"/>
  <c r="U22" i="5"/>
  <c r="J23" i="5"/>
  <c r="AD614" i="12"/>
  <c r="AG614" i="12" s="1"/>
  <c r="B616" i="12"/>
  <c r="A617" i="12"/>
  <c r="S616" i="12"/>
  <c r="T616" i="12"/>
  <c r="AC615" i="12"/>
  <c r="AA615" i="12"/>
  <c r="AB615" i="12"/>
  <c r="AF615" i="12" s="1"/>
  <c r="AK615" i="12"/>
  <c r="AJ615" i="12"/>
  <c r="W614" i="12"/>
  <c r="V615" i="12"/>
  <c r="R616" i="12"/>
  <c r="Q616" i="12"/>
  <c r="P617" i="12"/>
  <c r="U615" i="12"/>
  <c r="X616" i="12" l="1"/>
  <c r="Y616" i="12"/>
  <c r="P21" i="5"/>
  <c r="AA21" i="5"/>
  <c r="AD22" i="5"/>
  <c r="Y22" i="5"/>
  <c r="N22" i="5" s="1"/>
  <c r="AG22" i="5" s="1"/>
  <c r="L22" i="5"/>
  <c r="U23" i="5"/>
  <c r="L21" i="5"/>
  <c r="AF21" i="5" s="1"/>
  <c r="AD615" i="12"/>
  <c r="AG615" i="12" s="1"/>
  <c r="J24" i="5"/>
  <c r="P618" i="12"/>
  <c r="R617" i="12"/>
  <c r="Q617" i="12"/>
  <c r="AJ616" i="12"/>
  <c r="AC616" i="12"/>
  <c r="AA616" i="12"/>
  <c r="AB616" i="12"/>
  <c r="AF616" i="12" s="1"/>
  <c r="AK616" i="12"/>
  <c r="AI616" i="12"/>
  <c r="V616" i="12"/>
  <c r="W615" i="12"/>
  <c r="T617" i="12"/>
  <c r="U617" i="12" s="1"/>
  <c r="U616" i="12"/>
  <c r="S617" i="12"/>
  <c r="B617" i="12"/>
  <c r="A618" i="12"/>
  <c r="AD616" i="12" l="1"/>
  <c r="AG616" i="12" s="1"/>
  <c r="X617" i="12"/>
  <c r="Y617" i="12"/>
  <c r="AI617" i="12"/>
  <c r="AA22" i="5"/>
  <c r="P22" i="5"/>
  <c r="AD23" i="5"/>
  <c r="Y23" i="5"/>
  <c r="N23" i="5" s="1"/>
  <c r="AG23" i="5" s="1"/>
  <c r="L23" i="5"/>
  <c r="U24" i="5"/>
  <c r="AF22" i="5"/>
  <c r="J25" i="5"/>
  <c r="A619" i="12"/>
  <c r="S618" i="12"/>
  <c r="B618" i="12"/>
  <c r="V617" i="12"/>
  <c r="W616" i="12"/>
  <c r="AA617" i="12"/>
  <c r="AB617" i="12"/>
  <c r="AF617" i="12" s="1"/>
  <c r="AK617" i="12"/>
  <c r="AJ617" i="12"/>
  <c r="AC617" i="12"/>
  <c r="T618" i="12"/>
  <c r="P619" i="12"/>
  <c r="R618" i="12"/>
  <c r="Q618" i="12"/>
  <c r="AD617" i="12" l="1"/>
  <c r="AG617" i="12" s="1"/>
  <c r="X618" i="12"/>
  <c r="Y618" i="12"/>
  <c r="AF23" i="5"/>
  <c r="P23" i="5"/>
  <c r="AA23" i="5"/>
  <c r="Y24" i="5"/>
  <c r="N24" i="5" s="1"/>
  <c r="AG24" i="5" s="1"/>
  <c r="AD24" i="5"/>
  <c r="U25" i="5"/>
  <c r="AI618" i="12"/>
  <c r="J26" i="5"/>
  <c r="AJ618" i="12"/>
  <c r="AC618" i="12"/>
  <c r="AA618" i="12"/>
  <c r="AB618" i="12"/>
  <c r="AF618" i="12" s="1"/>
  <c r="AK618" i="12"/>
  <c r="Q619" i="12"/>
  <c r="P620" i="12"/>
  <c r="R619" i="12"/>
  <c r="T619" i="12"/>
  <c r="U618" i="12"/>
  <c r="W617" i="12"/>
  <c r="V618" i="12"/>
  <c r="A620" i="12"/>
  <c r="S619" i="12"/>
  <c r="B619" i="12"/>
  <c r="X619" i="12" l="1"/>
  <c r="Y619" i="12"/>
  <c r="AI619" i="12"/>
  <c r="P24" i="5"/>
  <c r="AA24" i="5"/>
  <c r="Y25" i="5"/>
  <c r="N25" i="5" s="1"/>
  <c r="AD25" i="5"/>
  <c r="U26" i="5"/>
  <c r="L24" i="5"/>
  <c r="AF24" i="5" s="1"/>
  <c r="J27" i="5"/>
  <c r="S620" i="12"/>
  <c r="B620" i="12"/>
  <c r="A621" i="12"/>
  <c r="AJ619" i="12"/>
  <c r="AC619" i="12"/>
  <c r="AD619" i="12" s="1"/>
  <c r="AG619" i="12" s="1"/>
  <c r="AA619" i="12"/>
  <c r="AB619" i="12"/>
  <c r="AF619" i="12" s="1"/>
  <c r="AK619" i="12"/>
  <c r="V619" i="12"/>
  <c r="W618" i="12"/>
  <c r="P621" i="12"/>
  <c r="R620" i="12"/>
  <c r="Q620" i="12"/>
  <c r="AI620" i="12" s="1"/>
  <c r="T620" i="12"/>
  <c r="AD618" i="12"/>
  <c r="AG618" i="12" s="1"/>
  <c r="U619" i="12"/>
  <c r="X620" i="12" l="1"/>
  <c r="Y620" i="12"/>
  <c r="P25" i="5"/>
  <c r="L25" i="5"/>
  <c r="AF25" i="5" s="1"/>
  <c r="AG25" i="5"/>
  <c r="AA25" i="5"/>
  <c r="Y26" i="5"/>
  <c r="N26" i="5" s="1"/>
  <c r="P26" i="5" s="1"/>
  <c r="AD26" i="5"/>
  <c r="L26" i="5"/>
  <c r="U27" i="5"/>
  <c r="J28" i="5"/>
  <c r="P622" i="12"/>
  <c r="Q621" i="12"/>
  <c r="R621" i="12"/>
  <c r="A622" i="12"/>
  <c r="S621" i="12"/>
  <c r="B621" i="12"/>
  <c r="T621" i="12"/>
  <c r="U620" i="12"/>
  <c r="V620" i="12"/>
  <c r="W619" i="12"/>
  <c r="AK620" i="12"/>
  <c r="AJ620" i="12"/>
  <c r="AC620" i="12"/>
  <c r="AA620" i="12"/>
  <c r="AB620" i="12"/>
  <c r="AF620" i="12" s="1"/>
  <c r="X621" i="12" l="1"/>
  <c r="Y621" i="12"/>
  <c r="AI621" i="12"/>
  <c r="AA26" i="5"/>
  <c r="AF26" i="5"/>
  <c r="AG26" i="5"/>
  <c r="Y27" i="5"/>
  <c r="N27" i="5" s="1"/>
  <c r="P27" i="5" s="1"/>
  <c r="AD27" i="5"/>
  <c r="U28" i="5"/>
  <c r="AD620" i="12"/>
  <c r="AG620" i="12" s="1"/>
  <c r="J29" i="5"/>
  <c r="W620" i="12"/>
  <c r="V621" i="12"/>
  <c r="T622" i="12"/>
  <c r="AC621" i="12"/>
  <c r="AA621" i="12"/>
  <c r="AB621" i="12"/>
  <c r="AF621" i="12" s="1"/>
  <c r="AK621" i="12"/>
  <c r="AJ621" i="12"/>
  <c r="R622" i="12"/>
  <c r="Q622" i="12"/>
  <c r="P623" i="12"/>
  <c r="B622" i="12"/>
  <c r="A623" i="12"/>
  <c r="S622" i="12"/>
  <c r="U621" i="12"/>
  <c r="X622" i="12" l="1"/>
  <c r="Y622" i="12"/>
  <c r="AA27" i="5"/>
  <c r="AG27" i="5"/>
  <c r="AD28" i="5"/>
  <c r="Y28" i="5"/>
  <c r="N28" i="5" s="1"/>
  <c r="P28" i="5" s="1"/>
  <c r="L28" i="5"/>
  <c r="U29" i="5"/>
  <c r="L27" i="5"/>
  <c r="AF27" i="5" s="1"/>
  <c r="J30" i="5"/>
  <c r="AD621" i="12"/>
  <c r="AG621" i="12" s="1"/>
  <c r="AK622" i="12"/>
  <c r="AJ622" i="12"/>
  <c r="AC622" i="12"/>
  <c r="AB622" i="12"/>
  <c r="AF622" i="12" s="1"/>
  <c r="AA622" i="12"/>
  <c r="S623" i="12"/>
  <c r="B623" i="12"/>
  <c r="A624" i="12"/>
  <c r="T623" i="12"/>
  <c r="U622" i="12"/>
  <c r="P624" i="12"/>
  <c r="R623" i="12"/>
  <c r="Q623" i="12"/>
  <c r="AI622" i="12"/>
  <c r="V622" i="12"/>
  <c r="W621" i="12"/>
  <c r="AD622" i="12" l="1"/>
  <c r="AG622" i="12" s="1"/>
  <c r="X623" i="12"/>
  <c r="Y623" i="12"/>
  <c r="AA28" i="5"/>
  <c r="AG28" i="5"/>
  <c r="L29" i="5"/>
  <c r="AD29" i="5"/>
  <c r="Y29" i="5"/>
  <c r="N29" i="5" s="1"/>
  <c r="AA29" i="5" s="1"/>
  <c r="U30" i="5"/>
  <c r="AF28" i="5"/>
  <c r="J31" i="5"/>
  <c r="V623" i="12"/>
  <c r="W622" i="12"/>
  <c r="A625" i="12"/>
  <c r="S624" i="12"/>
  <c r="B624" i="12"/>
  <c r="AI623" i="12"/>
  <c r="P625" i="12"/>
  <c r="R624" i="12"/>
  <c r="Q624" i="12"/>
  <c r="T624" i="12"/>
  <c r="U624" i="12" s="1"/>
  <c r="U623" i="12"/>
  <c r="AK623" i="12"/>
  <c r="AJ623" i="12"/>
  <c r="AC623" i="12"/>
  <c r="AA623" i="12"/>
  <c r="AB623" i="12"/>
  <c r="AF623" i="12" s="1"/>
  <c r="X624" i="12" l="1"/>
  <c r="Y624" i="12"/>
  <c r="AF29" i="5"/>
  <c r="AG29" i="5"/>
  <c r="AD30" i="5"/>
  <c r="Y30" i="5"/>
  <c r="N30" i="5" s="1"/>
  <c r="AA30" i="5" s="1"/>
  <c r="L30" i="5"/>
  <c r="AF30" i="5" s="1"/>
  <c r="U31" i="5"/>
  <c r="P29" i="5"/>
  <c r="J32" i="5"/>
  <c r="A626" i="12"/>
  <c r="S625" i="12"/>
  <c r="B625" i="12"/>
  <c r="AA624" i="12"/>
  <c r="AB624" i="12"/>
  <c r="AF624" i="12" s="1"/>
  <c r="AK624" i="12"/>
  <c r="AJ624" i="12"/>
  <c r="AC624" i="12"/>
  <c r="W623" i="12"/>
  <c r="V624" i="12"/>
  <c r="AD623" i="12"/>
  <c r="AG623" i="12" s="1"/>
  <c r="T625" i="12"/>
  <c r="Q625" i="12"/>
  <c r="P626" i="12"/>
  <c r="R625" i="12"/>
  <c r="AI624" i="12"/>
  <c r="AD624" i="12" l="1"/>
  <c r="AG624" i="12" s="1"/>
  <c r="X625" i="12"/>
  <c r="Y625" i="12"/>
  <c r="AG30" i="5"/>
  <c r="P30" i="5"/>
  <c r="Y31" i="5"/>
  <c r="N31" i="5" s="1"/>
  <c r="AA31" i="5" s="1"/>
  <c r="AD31" i="5"/>
  <c r="U32" i="5"/>
  <c r="J33" i="5"/>
  <c r="T626" i="12"/>
  <c r="U626" i="12" s="1"/>
  <c r="U625" i="12"/>
  <c r="W624" i="12"/>
  <c r="V625" i="12"/>
  <c r="AJ625" i="12"/>
  <c r="AC625" i="12"/>
  <c r="AA625" i="12"/>
  <c r="AB625" i="12"/>
  <c r="AF625" i="12" s="1"/>
  <c r="AK625" i="12"/>
  <c r="R626" i="12"/>
  <c r="Q626" i="12"/>
  <c r="P627" i="12"/>
  <c r="AI625" i="12"/>
  <c r="B626" i="12"/>
  <c r="A627" i="12"/>
  <c r="S626" i="12"/>
  <c r="X626" i="12" l="1"/>
  <c r="Y626" i="12"/>
  <c r="AD625" i="12"/>
  <c r="AG625" i="12" s="1"/>
  <c r="AG31" i="5"/>
  <c r="P31" i="5"/>
  <c r="L31" i="5"/>
  <c r="AF31" i="5" s="1"/>
  <c r="AD32" i="5"/>
  <c r="Y32" i="5"/>
  <c r="N32" i="5" s="1"/>
  <c r="AA32" i="5" s="1"/>
  <c r="L32" i="5"/>
  <c r="U33" i="5"/>
  <c r="J34" i="5"/>
  <c r="S627" i="12"/>
  <c r="B627" i="12"/>
  <c r="A628" i="12"/>
  <c r="AI626" i="12"/>
  <c r="T627" i="12"/>
  <c r="AK626" i="12"/>
  <c r="AB626" i="12"/>
  <c r="AF626" i="12" s="1"/>
  <c r="AA626" i="12"/>
  <c r="AJ626" i="12"/>
  <c r="AC626" i="12"/>
  <c r="AD626" i="12" s="1"/>
  <c r="AG626" i="12" s="1"/>
  <c r="P628" i="12"/>
  <c r="R627" i="12"/>
  <c r="Q627" i="12"/>
  <c r="V626" i="12"/>
  <c r="W625" i="12"/>
  <c r="X627" i="12" l="1"/>
  <c r="Y627" i="12"/>
  <c r="AG32" i="5"/>
  <c r="P32" i="5"/>
  <c r="AF32" i="5"/>
  <c r="AD33" i="5"/>
  <c r="Y33" i="5"/>
  <c r="N33" i="5" s="1"/>
  <c r="AA33" i="5" s="1"/>
  <c r="U34" i="5"/>
  <c r="J35" i="5"/>
  <c r="P629" i="12"/>
  <c r="R628" i="12"/>
  <c r="AI628" i="12" s="1"/>
  <c r="Q628" i="12"/>
  <c r="V627" i="12"/>
  <c r="W626" i="12"/>
  <c r="A629" i="12"/>
  <c r="S628" i="12"/>
  <c r="B628" i="12"/>
  <c r="T628" i="12"/>
  <c r="U627" i="12"/>
  <c r="AB627" i="12"/>
  <c r="AF627" i="12" s="1"/>
  <c r="AK627" i="12"/>
  <c r="AJ627" i="12"/>
  <c r="AC627" i="12"/>
  <c r="AD627" i="12" s="1"/>
  <c r="AG627" i="12" s="1"/>
  <c r="AA627" i="12"/>
  <c r="AI627" i="12"/>
  <c r="X628" i="12" l="1"/>
  <c r="Y628" i="12"/>
  <c r="P33" i="5"/>
  <c r="AG33" i="5"/>
  <c r="AD34" i="5"/>
  <c r="Y34" i="5"/>
  <c r="N34" i="5" s="1"/>
  <c r="U35" i="5"/>
  <c r="L33" i="5"/>
  <c r="AF33" i="5" s="1"/>
  <c r="J36" i="5"/>
  <c r="T629" i="12"/>
  <c r="U629" i="12" s="1"/>
  <c r="U628" i="12"/>
  <c r="A630" i="12"/>
  <c r="S629" i="12"/>
  <c r="B629" i="12"/>
  <c r="AB628" i="12"/>
  <c r="AF628" i="12" s="1"/>
  <c r="AK628" i="12"/>
  <c r="AJ628" i="12"/>
  <c r="AC628" i="12"/>
  <c r="AA628" i="12"/>
  <c r="Q629" i="12"/>
  <c r="P630" i="12"/>
  <c r="R629" i="12"/>
  <c r="W627" i="12"/>
  <c r="V628" i="12"/>
  <c r="X629" i="12" l="1"/>
  <c r="Y629" i="12"/>
  <c r="AG34" i="5"/>
  <c r="AA34" i="5"/>
  <c r="P34" i="5"/>
  <c r="L34" i="5"/>
  <c r="AF34" i="5" s="1"/>
  <c r="Y35" i="5"/>
  <c r="N35" i="5" s="1"/>
  <c r="AD35" i="5"/>
  <c r="U36" i="5"/>
  <c r="J37" i="5"/>
  <c r="W628" i="12"/>
  <c r="V629" i="12"/>
  <c r="B630" i="12"/>
  <c r="A631" i="12"/>
  <c r="S630" i="12"/>
  <c r="AI629" i="12"/>
  <c r="AD628" i="12"/>
  <c r="AG628" i="12" s="1"/>
  <c r="AB629" i="12"/>
  <c r="AF629" i="12" s="1"/>
  <c r="AA629" i="12"/>
  <c r="AK629" i="12"/>
  <c r="AJ629" i="12"/>
  <c r="AC629" i="12"/>
  <c r="AD629" i="12" s="1"/>
  <c r="AG629" i="12" s="1"/>
  <c r="R630" i="12"/>
  <c r="Q630" i="12"/>
  <c r="P631" i="12"/>
  <c r="T630" i="12"/>
  <c r="P35" i="5" l="1"/>
  <c r="X630" i="12"/>
  <c r="Y630" i="12"/>
  <c r="AG35" i="5"/>
  <c r="AA35" i="5"/>
  <c r="L35" i="5"/>
  <c r="AF35" i="5" s="1"/>
  <c r="Y36" i="5"/>
  <c r="N36" i="5" s="1"/>
  <c r="P36" i="5" s="1"/>
  <c r="L36" i="5"/>
  <c r="AD36" i="5"/>
  <c r="U37" i="5"/>
  <c r="J38" i="5"/>
  <c r="AB630" i="12"/>
  <c r="AF630" i="12" s="1"/>
  <c r="AJ630" i="12"/>
  <c r="AC630" i="12"/>
  <c r="AD630" i="12" s="1"/>
  <c r="AG630" i="12" s="1"/>
  <c r="AA630" i="12"/>
  <c r="AK630" i="12"/>
  <c r="T631" i="12"/>
  <c r="U630" i="12"/>
  <c r="AI630" i="12"/>
  <c r="V630" i="12"/>
  <c r="W629" i="12"/>
  <c r="R631" i="12"/>
  <c r="Q631" i="12"/>
  <c r="P632" i="12"/>
  <c r="U631" i="12"/>
  <c r="S631" i="12"/>
  <c r="B631" i="12"/>
  <c r="A632" i="12"/>
  <c r="AI631" i="12" l="1"/>
  <c r="X631" i="12"/>
  <c r="Y631" i="12"/>
  <c r="AA36" i="5"/>
  <c r="AG36" i="5"/>
  <c r="AF36" i="5"/>
  <c r="Y37" i="5"/>
  <c r="N37" i="5" s="1"/>
  <c r="L37" i="5"/>
  <c r="AD37" i="5"/>
  <c r="U38" i="5"/>
  <c r="P37" i="5"/>
  <c r="J39" i="5"/>
  <c r="AJ631" i="12"/>
  <c r="AK631" i="12"/>
  <c r="AB631" i="12"/>
  <c r="AF631" i="12" s="1"/>
  <c r="AC631" i="12"/>
  <c r="AA631" i="12"/>
  <c r="T632" i="12"/>
  <c r="S632" i="12"/>
  <c r="B632" i="12"/>
  <c r="A633" i="12"/>
  <c r="P633" i="12"/>
  <c r="R632" i="12"/>
  <c r="Q632" i="12"/>
  <c r="V631" i="12"/>
  <c r="W630" i="12"/>
  <c r="AA37" i="5" l="1"/>
  <c r="X632" i="12"/>
  <c r="Y632" i="12"/>
  <c r="AF37" i="5"/>
  <c r="AG37" i="5"/>
  <c r="AD38" i="5"/>
  <c r="Y38" i="5"/>
  <c r="N38" i="5" s="1"/>
  <c r="L38" i="5"/>
  <c r="U39" i="5"/>
  <c r="AD631" i="12"/>
  <c r="AG631" i="12" s="1"/>
  <c r="J40" i="5"/>
  <c r="AJ632" i="12"/>
  <c r="AK632" i="12"/>
  <c r="AA632" i="12"/>
  <c r="AB632" i="12"/>
  <c r="AF632" i="12" s="1"/>
  <c r="AC632" i="12"/>
  <c r="T633" i="12"/>
  <c r="U633" i="12" s="1"/>
  <c r="U632" i="12"/>
  <c r="P634" i="12"/>
  <c r="R633" i="12"/>
  <c r="Q633" i="12"/>
  <c r="W631" i="12"/>
  <c r="V632" i="12"/>
  <c r="S633" i="12"/>
  <c r="B633" i="12"/>
  <c r="A634" i="12"/>
  <c r="AI632" i="12"/>
  <c r="X633" i="12" l="1"/>
  <c r="Y633" i="12"/>
  <c r="AF38" i="5"/>
  <c r="AG38" i="5"/>
  <c r="AI633" i="12"/>
  <c r="P38" i="5"/>
  <c r="AD39" i="5"/>
  <c r="L39" i="5"/>
  <c r="Y39" i="5"/>
  <c r="N39" i="5" s="1"/>
  <c r="U40" i="5"/>
  <c r="AA38" i="5"/>
  <c r="J41" i="5"/>
  <c r="P635" i="12"/>
  <c r="R634" i="12"/>
  <c r="Q634" i="12"/>
  <c r="AI634" i="12" s="1"/>
  <c r="AJ633" i="12"/>
  <c r="AK633" i="12"/>
  <c r="AC633" i="12"/>
  <c r="AA633" i="12"/>
  <c r="AB633" i="12"/>
  <c r="AF633" i="12" s="1"/>
  <c r="S634" i="12"/>
  <c r="B634" i="12"/>
  <c r="A635" i="12"/>
  <c r="W632" i="12"/>
  <c r="V633" i="12"/>
  <c r="T634" i="12"/>
  <c r="AD632" i="12"/>
  <c r="AG632" i="12" s="1"/>
  <c r="X634" i="12" l="1"/>
  <c r="Y634" i="12"/>
  <c r="AF39" i="5"/>
  <c r="AG39" i="5"/>
  <c r="AA39" i="5"/>
  <c r="Y40" i="5"/>
  <c r="N40" i="5" s="1"/>
  <c r="L40" i="5"/>
  <c r="AF40" i="5" s="1"/>
  <c r="AD40" i="5"/>
  <c r="U41" i="5"/>
  <c r="P39" i="5"/>
  <c r="P40" i="5" s="1"/>
  <c r="J42" i="5"/>
  <c r="W633" i="12"/>
  <c r="V634" i="12"/>
  <c r="S635" i="12"/>
  <c r="B635" i="12"/>
  <c r="A636" i="12"/>
  <c r="T635" i="12"/>
  <c r="U635" i="12" s="1"/>
  <c r="U634" i="12"/>
  <c r="AJ634" i="12"/>
  <c r="AK634" i="12"/>
  <c r="AC634" i="12"/>
  <c r="AA634" i="12"/>
  <c r="AB634" i="12"/>
  <c r="AF634" i="12" s="1"/>
  <c r="P636" i="12"/>
  <c r="R635" i="12"/>
  <c r="Q635" i="12"/>
  <c r="AD633" i="12"/>
  <c r="AG633" i="12" s="1"/>
  <c r="AG40" i="5" l="1"/>
  <c r="X635" i="12"/>
  <c r="Y635" i="12"/>
  <c r="AA40" i="5"/>
  <c r="L41" i="5"/>
  <c r="AF41" i="5" s="1"/>
  <c r="AD41" i="5"/>
  <c r="Y41" i="5"/>
  <c r="N41" i="5" s="1"/>
  <c r="P41" i="5" s="1"/>
  <c r="U42" i="5"/>
  <c r="J43" i="5"/>
  <c r="AD634" i="12"/>
  <c r="AG634" i="12" s="1"/>
  <c r="S636" i="12"/>
  <c r="B636" i="12"/>
  <c r="A637" i="12"/>
  <c r="W634" i="12"/>
  <c r="V635" i="12"/>
  <c r="AJ635" i="12"/>
  <c r="AK635" i="12"/>
  <c r="AB635" i="12"/>
  <c r="AF635" i="12" s="1"/>
  <c r="AC635" i="12"/>
  <c r="AA635" i="12"/>
  <c r="AI635" i="12"/>
  <c r="P637" i="12"/>
  <c r="R636" i="12"/>
  <c r="Q636" i="12"/>
  <c r="T636" i="12"/>
  <c r="AD635" i="12" l="1"/>
  <c r="AG635" i="12" s="1"/>
  <c r="X636" i="12"/>
  <c r="Y636" i="12"/>
  <c r="AG41" i="5"/>
  <c r="AA41" i="5"/>
  <c r="Y42" i="5"/>
  <c r="N42" i="5" s="1"/>
  <c r="P42" i="5" s="1"/>
  <c r="L42" i="5"/>
  <c r="AF42" i="5" s="1"/>
  <c r="AD42" i="5"/>
  <c r="U43" i="5"/>
  <c r="J44" i="5"/>
  <c r="W635" i="12"/>
  <c r="V636" i="12"/>
  <c r="P638" i="12"/>
  <c r="R637" i="12"/>
  <c r="Q637" i="12"/>
  <c r="T637" i="12"/>
  <c r="U636" i="12"/>
  <c r="S637" i="12"/>
  <c r="B637" i="12"/>
  <c r="A638" i="12"/>
  <c r="AJ636" i="12"/>
  <c r="AK636" i="12"/>
  <c r="AA636" i="12"/>
  <c r="AB636" i="12"/>
  <c r="AF636" i="12" s="1"/>
  <c r="AC636" i="12"/>
  <c r="AD636" i="12" s="1"/>
  <c r="AG636" i="12" s="1"/>
  <c r="AI636" i="12"/>
  <c r="AI637" i="12" l="1"/>
  <c r="X637" i="12"/>
  <c r="Y637" i="12"/>
  <c r="AG42" i="5"/>
  <c r="AA42" i="5"/>
  <c r="AD43" i="5"/>
  <c r="Y43" i="5"/>
  <c r="N43" i="5" s="1"/>
  <c r="P43" i="5" s="1"/>
  <c r="L43" i="5"/>
  <c r="AF43" i="5" s="1"/>
  <c r="U44" i="5"/>
  <c r="J45" i="5"/>
  <c r="S638" i="12"/>
  <c r="B638" i="12"/>
  <c r="A639" i="12"/>
  <c r="T638" i="12"/>
  <c r="U637" i="12"/>
  <c r="W636" i="12"/>
  <c r="V637" i="12"/>
  <c r="AJ637" i="12"/>
  <c r="AK637" i="12"/>
  <c r="AC637" i="12"/>
  <c r="AA637" i="12"/>
  <c r="AB637" i="12"/>
  <c r="AF637" i="12" s="1"/>
  <c r="P639" i="12"/>
  <c r="R638" i="12"/>
  <c r="Q638" i="12"/>
  <c r="X638" i="12" l="1"/>
  <c r="Y638" i="12"/>
  <c r="AI638" i="12"/>
  <c r="AA43" i="5"/>
  <c r="AG43" i="5"/>
  <c r="Y44" i="5"/>
  <c r="N44" i="5" s="1"/>
  <c r="L44" i="5"/>
  <c r="AF44" i="5" s="1"/>
  <c r="AD44" i="5"/>
  <c r="U45" i="5"/>
  <c r="J46" i="5"/>
  <c r="T639" i="12"/>
  <c r="U639" i="12" s="1"/>
  <c r="U638" i="12"/>
  <c r="P640" i="12"/>
  <c r="R639" i="12"/>
  <c r="Q639" i="12"/>
  <c r="AI639" i="12" s="1"/>
  <c r="AD637" i="12"/>
  <c r="AG637" i="12" s="1"/>
  <c r="S639" i="12"/>
  <c r="B639" i="12"/>
  <c r="A640" i="12"/>
  <c r="W637" i="12"/>
  <c r="V638" i="12"/>
  <c r="AJ638" i="12"/>
  <c r="AK638" i="12"/>
  <c r="AC638" i="12"/>
  <c r="AA638" i="12"/>
  <c r="AB638" i="12"/>
  <c r="AF638" i="12" s="1"/>
  <c r="X639" i="12" l="1"/>
  <c r="Y639" i="12"/>
  <c r="AA44" i="5"/>
  <c r="AG44" i="5"/>
  <c r="P44" i="5"/>
  <c r="Y45" i="5"/>
  <c r="N45" i="5" s="1"/>
  <c r="L45" i="5"/>
  <c r="AF45" i="5" s="1"/>
  <c r="AD45" i="5"/>
  <c r="U46" i="5"/>
  <c r="J47" i="5"/>
  <c r="P641" i="12"/>
  <c r="R640" i="12"/>
  <c r="Q640" i="12"/>
  <c r="T640" i="12"/>
  <c r="W638" i="12"/>
  <c r="V639" i="12"/>
  <c r="S640" i="12"/>
  <c r="B640" i="12"/>
  <c r="A641" i="12"/>
  <c r="AD638" i="12"/>
  <c r="AG638" i="12" s="1"/>
  <c r="AJ639" i="12"/>
  <c r="AK639" i="12"/>
  <c r="AB639" i="12"/>
  <c r="AF639" i="12" s="1"/>
  <c r="AC639" i="12"/>
  <c r="AA639" i="12"/>
  <c r="AD639" i="12" l="1"/>
  <c r="AG639" i="12" s="1"/>
  <c r="X640" i="12"/>
  <c r="Y640" i="12"/>
  <c r="AA45" i="5"/>
  <c r="P45" i="5"/>
  <c r="AD46" i="5"/>
  <c r="Y46" i="5"/>
  <c r="N46" i="5" s="1"/>
  <c r="U47" i="5"/>
  <c r="AG45" i="5"/>
  <c r="J48" i="5"/>
  <c r="AI640" i="12"/>
  <c r="S641" i="12"/>
  <c r="B641" i="12"/>
  <c r="A642" i="12"/>
  <c r="W639" i="12"/>
  <c r="V640" i="12"/>
  <c r="P642" i="12"/>
  <c r="R641" i="12"/>
  <c r="Q641" i="12"/>
  <c r="AJ640" i="12"/>
  <c r="AK640" i="12"/>
  <c r="AA640" i="12"/>
  <c r="AB640" i="12"/>
  <c r="AF640" i="12" s="1"/>
  <c r="AC640" i="12"/>
  <c r="AD640" i="12" s="1"/>
  <c r="AG640" i="12" s="1"/>
  <c r="T641" i="12"/>
  <c r="U640" i="12"/>
  <c r="AI641" i="12" l="1"/>
  <c r="X641" i="12"/>
  <c r="Y641" i="12"/>
  <c r="AG46" i="5"/>
  <c r="AA46" i="5"/>
  <c r="P46" i="5"/>
  <c r="L47" i="5"/>
  <c r="AD47" i="5"/>
  <c r="Y47" i="5"/>
  <c r="N47" i="5" s="1"/>
  <c r="U48" i="5"/>
  <c r="L46" i="5"/>
  <c r="AF46" i="5" s="1"/>
  <c r="J49" i="5"/>
  <c r="S642" i="12"/>
  <c r="B642" i="12"/>
  <c r="A643" i="12"/>
  <c r="P643" i="12"/>
  <c r="R642" i="12"/>
  <c r="Q642" i="12"/>
  <c r="AJ641" i="12"/>
  <c r="AK641" i="12"/>
  <c r="AC641" i="12"/>
  <c r="AA641" i="12"/>
  <c r="AB641" i="12"/>
  <c r="AF641" i="12" s="1"/>
  <c r="W640" i="12"/>
  <c r="V641" i="12"/>
  <c r="T642" i="12"/>
  <c r="U641" i="12"/>
  <c r="AI642" i="12"/>
  <c r="X642" i="12" l="1"/>
  <c r="Y642" i="12"/>
  <c r="P47" i="5"/>
  <c r="AG47" i="5"/>
  <c r="AA47" i="5"/>
  <c r="AF47" i="5"/>
  <c r="Y48" i="5"/>
  <c r="N48" i="5" s="1"/>
  <c r="P48" i="5" s="1"/>
  <c r="L48" i="5"/>
  <c r="AD48" i="5"/>
  <c r="U49" i="5"/>
  <c r="J50" i="5"/>
  <c r="P644" i="12"/>
  <c r="R643" i="12"/>
  <c r="Q643" i="12"/>
  <c r="AI643" i="12" s="1"/>
  <c r="AJ642" i="12"/>
  <c r="AK642" i="12"/>
  <c r="AC642" i="12"/>
  <c r="AA642" i="12"/>
  <c r="AB642" i="12"/>
  <c r="AF642" i="12" s="1"/>
  <c r="W641" i="12"/>
  <c r="V642" i="12"/>
  <c r="T643" i="12"/>
  <c r="U642" i="12"/>
  <c r="AD641" i="12"/>
  <c r="AG641" i="12" s="1"/>
  <c r="S643" i="12"/>
  <c r="B643" i="12"/>
  <c r="A644" i="12"/>
  <c r="AA48" i="5" l="1"/>
  <c r="X643" i="12"/>
  <c r="Y643" i="12"/>
  <c r="AF48" i="5"/>
  <c r="AG48" i="5"/>
  <c r="Y49" i="5"/>
  <c r="N49" i="5" s="1"/>
  <c r="P49" i="5" s="1"/>
  <c r="L49" i="5"/>
  <c r="AD49" i="5"/>
  <c r="U50" i="5"/>
  <c r="J51" i="5"/>
  <c r="AJ643" i="12"/>
  <c r="AK643" i="12"/>
  <c r="AB643" i="12"/>
  <c r="AF643" i="12" s="1"/>
  <c r="AC643" i="12"/>
  <c r="AA643" i="12"/>
  <c r="AD642" i="12"/>
  <c r="AG642" i="12" s="1"/>
  <c r="W642" i="12"/>
  <c r="V643" i="12"/>
  <c r="S644" i="12"/>
  <c r="B644" i="12"/>
  <c r="A645" i="12"/>
  <c r="T644" i="12"/>
  <c r="U643" i="12"/>
  <c r="P645" i="12"/>
  <c r="R644" i="12"/>
  <c r="Q644" i="12"/>
  <c r="X644" i="12" l="1"/>
  <c r="Y644" i="12"/>
  <c r="AA49" i="5"/>
  <c r="AF49" i="5"/>
  <c r="AG49" i="5"/>
  <c r="AD50" i="5"/>
  <c r="Y50" i="5"/>
  <c r="N50" i="5" s="1"/>
  <c r="P50" i="5" s="1"/>
  <c r="L50" i="5"/>
  <c r="AF50" i="5" s="1"/>
  <c r="U51" i="5"/>
  <c r="AI644" i="12"/>
  <c r="AD643" i="12"/>
  <c r="AG643" i="12" s="1"/>
  <c r="J52" i="5"/>
  <c r="P646" i="12"/>
  <c r="R645" i="12"/>
  <c r="Q645" i="12"/>
  <c r="T645" i="12"/>
  <c r="U644" i="12"/>
  <c r="AJ644" i="12"/>
  <c r="AK644" i="12"/>
  <c r="AA644" i="12"/>
  <c r="AB644" i="12"/>
  <c r="AF644" i="12" s="1"/>
  <c r="AC644" i="12"/>
  <c r="AD644" i="12" s="1"/>
  <c r="AG644" i="12" s="1"/>
  <c r="S645" i="12"/>
  <c r="B645" i="12"/>
  <c r="A646" i="12"/>
  <c r="W643" i="12"/>
  <c r="V644" i="12"/>
  <c r="X645" i="12" l="1"/>
  <c r="Y645" i="12"/>
  <c r="AI645" i="12"/>
  <c r="AG50" i="5"/>
  <c r="AA50" i="5"/>
  <c r="AD51" i="5"/>
  <c r="Y51" i="5"/>
  <c r="N51" i="5" s="1"/>
  <c r="P51" i="5" s="1"/>
  <c r="U52" i="5"/>
  <c r="J53" i="5"/>
  <c r="T646" i="12"/>
  <c r="U645" i="12"/>
  <c r="AJ645" i="12"/>
  <c r="AK645" i="12"/>
  <c r="AC645" i="12"/>
  <c r="AA645" i="12"/>
  <c r="AB645" i="12"/>
  <c r="AF645" i="12" s="1"/>
  <c r="W644" i="12"/>
  <c r="V645" i="12"/>
  <c r="S646" i="12"/>
  <c r="B646" i="12"/>
  <c r="A647" i="12"/>
  <c r="P647" i="12"/>
  <c r="R646" i="12"/>
  <c r="Q646" i="12"/>
  <c r="X646" i="12" l="1"/>
  <c r="Y646" i="12"/>
  <c r="L51" i="5"/>
  <c r="AF51" i="5" s="1"/>
  <c r="AG51" i="5"/>
  <c r="AA51" i="5"/>
  <c r="Y52" i="5"/>
  <c r="N52" i="5" s="1"/>
  <c r="P52" i="5" s="1"/>
  <c r="L52" i="5"/>
  <c r="AF52" i="5" s="1"/>
  <c r="AD52" i="5"/>
  <c r="U53" i="5"/>
  <c r="J54" i="5"/>
  <c r="AJ646" i="12"/>
  <c r="AK646" i="12"/>
  <c r="AC646" i="12"/>
  <c r="AA646" i="12"/>
  <c r="AB646" i="12"/>
  <c r="AF646" i="12" s="1"/>
  <c r="AD645" i="12"/>
  <c r="AG645" i="12" s="1"/>
  <c r="AI646" i="12"/>
  <c r="P648" i="12"/>
  <c r="R647" i="12"/>
  <c r="Q647" i="12"/>
  <c r="S647" i="12"/>
  <c r="B647" i="12"/>
  <c r="A648" i="12"/>
  <c r="W645" i="12"/>
  <c r="V646" i="12"/>
  <c r="T647" i="12"/>
  <c r="U646" i="12"/>
  <c r="X647" i="12" l="1"/>
  <c r="Y647" i="12"/>
  <c r="AA52" i="5"/>
  <c r="AG52" i="5"/>
  <c r="AD53" i="5"/>
  <c r="Y53" i="5"/>
  <c r="N53" i="5" s="1"/>
  <c r="P53" i="5" s="1"/>
  <c r="L53" i="5"/>
  <c r="AF53" i="5" s="1"/>
  <c r="U54" i="5"/>
  <c r="J55" i="5"/>
  <c r="S648" i="12"/>
  <c r="B648" i="12"/>
  <c r="A649" i="12"/>
  <c r="AI647" i="12"/>
  <c r="T648" i="12"/>
  <c r="U648" i="12" s="1"/>
  <c r="U647" i="12"/>
  <c r="AJ647" i="12"/>
  <c r="AK647" i="12"/>
  <c r="AB647" i="12"/>
  <c r="AF647" i="12" s="1"/>
  <c r="AC647" i="12"/>
  <c r="AA647" i="12"/>
  <c r="AD646" i="12"/>
  <c r="AG646" i="12" s="1"/>
  <c r="W646" i="12"/>
  <c r="V647" i="12"/>
  <c r="P649" i="12"/>
  <c r="R648" i="12"/>
  <c r="Q648" i="12"/>
  <c r="X648" i="12" l="1"/>
  <c r="Y648" i="12"/>
  <c r="AA53" i="5"/>
  <c r="AG53" i="5"/>
  <c r="L54" i="5"/>
  <c r="AF54" i="5" s="1"/>
  <c r="AD54" i="5"/>
  <c r="Y54" i="5"/>
  <c r="N54" i="5" s="1"/>
  <c r="P54" i="5" s="1"/>
  <c r="U55" i="5"/>
  <c r="AD647" i="12"/>
  <c r="AG647" i="12" s="1"/>
  <c r="J56" i="5"/>
  <c r="T649" i="12"/>
  <c r="AJ648" i="12"/>
  <c r="AK648" i="12"/>
  <c r="AA648" i="12"/>
  <c r="AB648" i="12"/>
  <c r="AF648" i="12" s="1"/>
  <c r="AC648" i="12"/>
  <c r="AD648" i="12" s="1"/>
  <c r="AG648" i="12" s="1"/>
  <c r="AI648" i="12"/>
  <c r="P650" i="12"/>
  <c r="R649" i="12"/>
  <c r="Q649" i="12"/>
  <c r="W647" i="12"/>
  <c r="V648" i="12"/>
  <c r="S649" i="12"/>
  <c r="B649" i="12"/>
  <c r="A650" i="12"/>
  <c r="X649" i="12" l="1"/>
  <c r="Y649" i="12"/>
  <c r="AG54" i="5"/>
  <c r="AA54" i="5"/>
  <c r="L55" i="5"/>
  <c r="AF55" i="5" s="1"/>
  <c r="AD55" i="5"/>
  <c r="Y55" i="5"/>
  <c r="N55" i="5" s="1"/>
  <c r="AG55" i="5" s="1"/>
  <c r="U56" i="5"/>
  <c r="J57" i="5"/>
  <c r="S650" i="12"/>
  <c r="B650" i="12"/>
  <c r="A651" i="12"/>
  <c r="AJ649" i="12"/>
  <c r="AK649" i="12"/>
  <c r="AC649" i="12"/>
  <c r="AA649" i="12"/>
  <c r="AB649" i="12"/>
  <c r="AF649" i="12" s="1"/>
  <c r="P651" i="12"/>
  <c r="R650" i="12"/>
  <c r="Q650" i="12"/>
  <c r="T650" i="12"/>
  <c r="U650" i="12" s="1"/>
  <c r="U649" i="12"/>
  <c r="W648" i="12"/>
  <c r="V649" i="12"/>
  <c r="AI649" i="12"/>
  <c r="X650" i="12" l="1"/>
  <c r="Y650" i="12"/>
  <c r="P55" i="5"/>
  <c r="AA55" i="5"/>
  <c r="AD56" i="5"/>
  <c r="Y56" i="5"/>
  <c r="N56" i="5" s="1"/>
  <c r="AG56" i="5" s="1"/>
  <c r="L56" i="5"/>
  <c r="AF56" i="5" s="1"/>
  <c r="U57" i="5"/>
  <c r="AI650" i="12"/>
  <c r="J58" i="5"/>
  <c r="T651" i="12"/>
  <c r="U651" i="12" s="1"/>
  <c r="P652" i="12"/>
  <c r="R651" i="12"/>
  <c r="AI651" i="12" s="1"/>
  <c r="Q651" i="12"/>
  <c r="S651" i="12"/>
  <c r="B651" i="12"/>
  <c r="A652" i="12"/>
  <c r="W649" i="12"/>
  <c r="V650" i="12"/>
  <c r="AD649" i="12"/>
  <c r="AG649" i="12" s="1"/>
  <c r="AJ650" i="12"/>
  <c r="AK650" i="12"/>
  <c r="AC650" i="12"/>
  <c r="AA650" i="12"/>
  <c r="AB650" i="12"/>
  <c r="AF650" i="12" s="1"/>
  <c r="X651" i="12" l="1"/>
  <c r="Y651" i="12"/>
  <c r="P56" i="5"/>
  <c r="AA56" i="5"/>
  <c r="Y57" i="5"/>
  <c r="N57" i="5" s="1"/>
  <c r="AD57" i="5"/>
  <c r="L57" i="5"/>
  <c r="AF57" i="5" s="1"/>
  <c r="U58" i="5"/>
  <c r="J59" i="5"/>
  <c r="W650" i="12"/>
  <c r="V651" i="12"/>
  <c r="P653" i="12"/>
  <c r="R652" i="12"/>
  <c r="Q652" i="12"/>
  <c r="AD650" i="12"/>
  <c r="AG650" i="12" s="1"/>
  <c r="S652" i="12"/>
  <c r="B652" i="12"/>
  <c r="A653" i="12"/>
  <c r="T652" i="12"/>
  <c r="AJ651" i="12"/>
  <c r="AK651" i="12"/>
  <c r="AB651" i="12"/>
  <c r="AF651" i="12" s="1"/>
  <c r="AC651" i="12"/>
  <c r="AA651" i="12"/>
  <c r="AI652" i="12" l="1"/>
  <c r="X652" i="12"/>
  <c r="Y652" i="12"/>
  <c r="P57" i="5"/>
  <c r="AG57" i="5"/>
  <c r="AA57" i="5"/>
  <c r="Y58" i="5"/>
  <c r="N58" i="5" s="1"/>
  <c r="L58" i="5"/>
  <c r="AF58" i="5" s="1"/>
  <c r="AD58" i="5"/>
  <c r="U59" i="5"/>
  <c r="AD651" i="12"/>
  <c r="AG651" i="12" s="1"/>
  <c r="J60" i="5"/>
  <c r="S653" i="12"/>
  <c r="B653" i="12"/>
  <c r="A654" i="12"/>
  <c r="AJ652" i="12"/>
  <c r="AK652" i="12"/>
  <c r="AA652" i="12"/>
  <c r="AB652" i="12"/>
  <c r="AF652" i="12" s="1"/>
  <c r="AC652" i="12"/>
  <c r="P654" i="12"/>
  <c r="R653" i="12"/>
  <c r="Q653" i="12"/>
  <c r="AI653" i="12" s="1"/>
  <c r="T653" i="12"/>
  <c r="U653" i="12" s="1"/>
  <c r="U652" i="12"/>
  <c r="W651" i="12"/>
  <c r="V652" i="12"/>
  <c r="P58" i="5" l="1"/>
  <c r="X653" i="12"/>
  <c r="Y653" i="12"/>
  <c r="AD652" i="12"/>
  <c r="AG652" i="12" s="1"/>
  <c r="AG58" i="5"/>
  <c r="AA58" i="5"/>
  <c r="AD59" i="5"/>
  <c r="Y59" i="5"/>
  <c r="N59" i="5" s="1"/>
  <c r="L59" i="5"/>
  <c r="AF59" i="5" s="1"/>
  <c r="U60" i="5"/>
  <c r="J61" i="5"/>
  <c r="P655" i="12"/>
  <c r="R654" i="12"/>
  <c r="Q654" i="12"/>
  <c r="T654" i="12"/>
  <c r="W652" i="12"/>
  <c r="V653" i="12"/>
  <c r="S654" i="12"/>
  <c r="B654" i="12"/>
  <c r="A655" i="12"/>
  <c r="AJ653" i="12"/>
  <c r="AK653" i="12"/>
  <c r="AC653" i="12"/>
  <c r="AA653" i="12"/>
  <c r="AB653" i="12"/>
  <c r="AF653" i="12" s="1"/>
  <c r="X654" i="12" l="1"/>
  <c r="Y654" i="12"/>
  <c r="AI654" i="12"/>
  <c r="AG59" i="5"/>
  <c r="AA59" i="5"/>
  <c r="P59" i="5"/>
  <c r="AD60" i="5"/>
  <c r="Y60" i="5"/>
  <c r="N60" i="5" s="1"/>
  <c r="L60" i="5"/>
  <c r="AF60" i="5" s="1"/>
  <c r="U61" i="5"/>
  <c r="J62" i="5"/>
  <c r="T655" i="12"/>
  <c r="U654" i="12"/>
  <c r="AD653" i="12"/>
  <c r="AG653" i="12" s="1"/>
  <c r="S655" i="12"/>
  <c r="B655" i="12"/>
  <c r="A656" i="12"/>
  <c r="AJ654" i="12"/>
  <c r="AK654" i="12"/>
  <c r="AC654" i="12"/>
  <c r="AA654" i="12"/>
  <c r="AB654" i="12"/>
  <c r="AF654" i="12" s="1"/>
  <c r="W653" i="12"/>
  <c r="V654" i="12"/>
  <c r="P656" i="12"/>
  <c r="R655" i="12"/>
  <c r="Q655" i="12"/>
  <c r="AI655" i="12" s="1"/>
  <c r="X655" i="12" l="1"/>
  <c r="Y655" i="12"/>
  <c r="AG60" i="5"/>
  <c r="P60" i="5"/>
  <c r="AA60" i="5"/>
  <c r="Y61" i="5"/>
  <c r="N61" i="5" s="1"/>
  <c r="L61" i="5"/>
  <c r="AF61" i="5" s="1"/>
  <c r="AD61" i="5"/>
  <c r="U62" i="5"/>
  <c r="J63" i="5"/>
  <c r="P657" i="12"/>
  <c r="R656" i="12"/>
  <c r="Q656" i="12"/>
  <c r="W654" i="12"/>
  <c r="V655" i="12"/>
  <c r="AD654" i="12"/>
  <c r="AG654" i="12" s="1"/>
  <c r="S656" i="12"/>
  <c r="B656" i="12"/>
  <c r="A657" i="12"/>
  <c r="AJ655" i="12"/>
  <c r="AK655" i="12"/>
  <c r="AB655" i="12"/>
  <c r="AF655" i="12" s="1"/>
  <c r="AC655" i="12"/>
  <c r="AA655" i="12"/>
  <c r="T656" i="12"/>
  <c r="U655" i="12"/>
  <c r="AI656" i="12" l="1"/>
  <c r="P61" i="5"/>
  <c r="X656" i="12"/>
  <c r="Y656" i="12"/>
  <c r="AG61" i="5"/>
  <c r="AA61" i="5"/>
  <c r="Y62" i="5"/>
  <c r="N62" i="5" s="1"/>
  <c r="L62" i="5"/>
  <c r="AF62" i="5" s="1"/>
  <c r="AD62" i="5"/>
  <c r="U63" i="5"/>
  <c r="J64" i="5"/>
  <c r="S657" i="12"/>
  <c r="B657" i="12"/>
  <c r="A658" i="12"/>
  <c r="T657" i="12"/>
  <c r="U656" i="12"/>
  <c r="AD655" i="12"/>
  <c r="AG655" i="12" s="1"/>
  <c r="AJ656" i="12"/>
  <c r="AK656" i="12"/>
  <c r="AA656" i="12"/>
  <c r="AB656" i="12"/>
  <c r="AF656" i="12" s="1"/>
  <c r="AC656" i="12"/>
  <c r="AD656" i="12" s="1"/>
  <c r="AG656" i="12" s="1"/>
  <c r="W655" i="12"/>
  <c r="V656" i="12"/>
  <c r="P658" i="12"/>
  <c r="R657" i="12"/>
  <c r="Q657" i="12"/>
  <c r="P62" i="5" l="1"/>
  <c r="X657" i="12"/>
  <c r="Y657" i="12"/>
  <c r="AG62" i="5"/>
  <c r="AI657" i="12"/>
  <c r="AA62" i="5"/>
  <c r="Y63" i="5"/>
  <c r="N63" i="5" s="1"/>
  <c r="L63" i="5"/>
  <c r="AF63" i="5" s="1"/>
  <c r="AD63" i="5"/>
  <c r="U64" i="5"/>
  <c r="J65" i="5"/>
  <c r="P659" i="12"/>
  <c r="R658" i="12"/>
  <c r="Q658" i="12"/>
  <c r="S658" i="12"/>
  <c r="B658" i="12"/>
  <c r="A659" i="12"/>
  <c r="AJ657" i="12"/>
  <c r="AK657" i="12"/>
  <c r="AC657" i="12"/>
  <c r="AA657" i="12"/>
  <c r="AB657" i="12"/>
  <c r="AF657" i="12" s="1"/>
  <c r="W656" i="12"/>
  <c r="V657" i="12"/>
  <c r="T658" i="12"/>
  <c r="U657" i="12"/>
  <c r="AI658" i="12" l="1"/>
  <c r="X658" i="12"/>
  <c r="Y658" i="12"/>
  <c r="AG63" i="5"/>
  <c r="P63" i="5"/>
  <c r="AA63" i="5"/>
  <c r="Y64" i="5"/>
  <c r="N64" i="5" s="1"/>
  <c r="AD64" i="5"/>
  <c r="L64" i="5"/>
  <c r="AF64" i="5" s="1"/>
  <c r="U65" i="5"/>
  <c r="J66" i="5"/>
  <c r="T659" i="12"/>
  <c r="W657" i="12"/>
  <c r="V658" i="12"/>
  <c r="S659" i="12"/>
  <c r="B659" i="12"/>
  <c r="A660" i="12"/>
  <c r="U658" i="12"/>
  <c r="P660" i="12"/>
  <c r="R659" i="12"/>
  <c r="Q659" i="12"/>
  <c r="AD657" i="12"/>
  <c r="AG657" i="12" s="1"/>
  <c r="AJ658" i="12"/>
  <c r="AK658" i="12"/>
  <c r="AC658" i="12"/>
  <c r="AA658" i="12"/>
  <c r="AB658" i="12"/>
  <c r="AF658" i="12" s="1"/>
  <c r="X659" i="12" l="1"/>
  <c r="Y659" i="12"/>
  <c r="AA64" i="5"/>
  <c r="P64" i="5"/>
  <c r="AG64" i="5"/>
  <c r="AD65" i="5"/>
  <c r="L65" i="5"/>
  <c r="AF65" i="5" s="1"/>
  <c r="Y65" i="5"/>
  <c r="N65" i="5" s="1"/>
  <c r="P65" i="5" s="1"/>
  <c r="U66" i="5"/>
  <c r="J67" i="5"/>
  <c r="AD658" i="12"/>
  <c r="AG658" i="12" s="1"/>
  <c r="AJ659" i="12"/>
  <c r="AK659" i="12"/>
  <c r="AB659" i="12"/>
  <c r="AF659" i="12" s="1"/>
  <c r="AC659" i="12"/>
  <c r="AA659" i="12"/>
  <c r="W658" i="12"/>
  <c r="V659" i="12"/>
  <c r="P661" i="12"/>
  <c r="R660" i="12"/>
  <c r="Q660" i="12"/>
  <c r="T660" i="12"/>
  <c r="U659" i="12"/>
  <c r="S660" i="12"/>
  <c r="B660" i="12"/>
  <c r="A661" i="12"/>
  <c r="AI659" i="12"/>
  <c r="X660" i="12" l="1"/>
  <c r="Y660" i="12"/>
  <c r="AI660" i="12"/>
  <c r="L66" i="5"/>
  <c r="AF66" i="5" s="1"/>
  <c r="Y66" i="5"/>
  <c r="N66" i="5" s="1"/>
  <c r="AD66" i="5"/>
  <c r="U67" i="5"/>
  <c r="AG65" i="5"/>
  <c r="AA65" i="5"/>
  <c r="AD659" i="12"/>
  <c r="AG659" i="12" s="1"/>
  <c r="J68" i="5"/>
  <c r="T661" i="12"/>
  <c r="U661" i="12" s="1"/>
  <c r="U660" i="12"/>
  <c r="S661" i="12"/>
  <c r="B661" i="12"/>
  <c r="A662" i="12"/>
  <c r="AJ660" i="12"/>
  <c r="AK660" i="12"/>
  <c r="AA660" i="12"/>
  <c r="AB660" i="12"/>
  <c r="AF660" i="12" s="1"/>
  <c r="AC660" i="12"/>
  <c r="AD660" i="12" s="1"/>
  <c r="AG660" i="12" s="1"/>
  <c r="W659" i="12"/>
  <c r="V660" i="12"/>
  <c r="P662" i="12"/>
  <c r="R661" i="12"/>
  <c r="Q661" i="12"/>
  <c r="AI661" i="12" s="1"/>
  <c r="X661" i="12" l="1"/>
  <c r="Y661" i="12"/>
  <c r="AA66" i="5"/>
  <c r="P66" i="5"/>
  <c r="AG66" i="5"/>
  <c r="AD67" i="5"/>
  <c r="Y67" i="5"/>
  <c r="N67" i="5" s="1"/>
  <c r="L67" i="5"/>
  <c r="AF67" i="5" s="1"/>
  <c r="U68" i="5"/>
  <c r="J69" i="5"/>
  <c r="S662" i="12"/>
  <c r="B662" i="12"/>
  <c r="A663" i="12"/>
  <c r="P663" i="12"/>
  <c r="R662" i="12"/>
  <c r="Q662" i="12"/>
  <c r="W660" i="12"/>
  <c r="V661" i="12"/>
  <c r="AJ661" i="12"/>
  <c r="AK661" i="12"/>
  <c r="AC661" i="12"/>
  <c r="AA661" i="12"/>
  <c r="AB661" i="12"/>
  <c r="AF661" i="12" s="1"/>
  <c r="T662" i="12"/>
  <c r="P67" i="5" l="1"/>
  <c r="X662" i="12"/>
  <c r="Y662" i="12"/>
  <c r="AG67" i="5"/>
  <c r="AA67" i="5"/>
  <c r="AD68" i="5"/>
  <c r="L68" i="5"/>
  <c r="AF68" i="5" s="1"/>
  <c r="Y68" i="5"/>
  <c r="N68" i="5" s="1"/>
  <c r="U69" i="5"/>
  <c r="AI662" i="12"/>
  <c r="J70" i="5"/>
  <c r="AD661" i="12"/>
  <c r="AG661" i="12" s="1"/>
  <c r="AJ662" i="12"/>
  <c r="AK662" i="12"/>
  <c r="AC662" i="12"/>
  <c r="AA662" i="12"/>
  <c r="AB662" i="12"/>
  <c r="AF662" i="12" s="1"/>
  <c r="W661" i="12"/>
  <c r="V662" i="12"/>
  <c r="P664" i="12"/>
  <c r="R663" i="12"/>
  <c r="Q663" i="12"/>
  <c r="T663" i="12"/>
  <c r="U663" i="12" s="1"/>
  <c r="U662" i="12"/>
  <c r="S663" i="12"/>
  <c r="B663" i="12"/>
  <c r="A664" i="12"/>
  <c r="AI663" i="12" l="1"/>
  <c r="P68" i="5"/>
  <c r="X663" i="12"/>
  <c r="Y663" i="12"/>
  <c r="AG68" i="5"/>
  <c r="AA68" i="5"/>
  <c r="Y69" i="5"/>
  <c r="N69" i="5" s="1"/>
  <c r="AD69" i="5"/>
  <c r="L69" i="5"/>
  <c r="AF69" i="5" s="1"/>
  <c r="U70" i="5"/>
  <c r="J71" i="5"/>
  <c r="S664" i="12"/>
  <c r="B664" i="12"/>
  <c r="A665" i="12"/>
  <c r="P665" i="12"/>
  <c r="R664" i="12"/>
  <c r="Q664" i="12"/>
  <c r="AJ663" i="12"/>
  <c r="AK663" i="12"/>
  <c r="AB663" i="12"/>
  <c r="AF663" i="12" s="1"/>
  <c r="AC663" i="12"/>
  <c r="AA663" i="12"/>
  <c r="T664" i="12"/>
  <c r="W662" i="12"/>
  <c r="V663" i="12"/>
  <c r="AD662" i="12"/>
  <c r="AG662" i="12" s="1"/>
  <c r="P69" i="5" l="1"/>
  <c r="X664" i="12"/>
  <c r="Y664" i="12"/>
  <c r="AG69" i="5"/>
  <c r="AI664" i="12"/>
  <c r="AA69" i="5"/>
  <c r="Y70" i="5"/>
  <c r="N70" i="5" s="1"/>
  <c r="L70" i="5"/>
  <c r="AF70" i="5" s="1"/>
  <c r="AD70" i="5"/>
  <c r="U71" i="5"/>
  <c r="AD663" i="12"/>
  <c r="AG663" i="12" s="1"/>
  <c r="J72" i="5"/>
  <c r="W663" i="12"/>
  <c r="V664" i="12"/>
  <c r="T665" i="12"/>
  <c r="U665" i="12" s="1"/>
  <c r="U664" i="12"/>
  <c r="AJ664" i="12"/>
  <c r="AK664" i="12"/>
  <c r="AA664" i="12"/>
  <c r="AB664" i="12"/>
  <c r="AF664" i="12" s="1"/>
  <c r="AC664" i="12"/>
  <c r="AD664" i="12" s="1"/>
  <c r="AG664" i="12" s="1"/>
  <c r="P666" i="12"/>
  <c r="R665" i="12"/>
  <c r="Q665" i="12"/>
  <c r="S665" i="12"/>
  <c r="B665" i="12"/>
  <c r="A666" i="12"/>
  <c r="X665" i="12" l="1"/>
  <c r="Y665" i="12"/>
  <c r="AA70" i="5"/>
  <c r="P70" i="5"/>
  <c r="AG70" i="5"/>
  <c r="Y71" i="5"/>
  <c r="N71" i="5" s="1"/>
  <c r="AD71" i="5"/>
  <c r="L71" i="5"/>
  <c r="AF71" i="5" s="1"/>
  <c r="U72" i="5"/>
  <c r="J73" i="5"/>
  <c r="T666" i="12"/>
  <c r="AJ665" i="12"/>
  <c r="AK665" i="12"/>
  <c r="AC665" i="12"/>
  <c r="AA665" i="12"/>
  <c r="AB665" i="12"/>
  <c r="AF665" i="12" s="1"/>
  <c r="AI665" i="12"/>
  <c r="W664" i="12"/>
  <c r="V665" i="12"/>
  <c r="P667" i="12"/>
  <c r="R666" i="12"/>
  <c r="Q666" i="12"/>
  <c r="S666" i="12"/>
  <c r="B666" i="12"/>
  <c r="A667" i="12"/>
  <c r="P71" i="5" l="1"/>
  <c r="X666" i="12"/>
  <c r="Y666" i="12"/>
  <c r="AG71" i="5"/>
  <c r="AA71" i="5"/>
  <c r="L72" i="5"/>
  <c r="AF72" i="5" s="1"/>
  <c r="AD72" i="5"/>
  <c r="Y72" i="5"/>
  <c r="N72" i="5" s="1"/>
  <c r="U73" i="5"/>
  <c r="J74" i="5"/>
  <c r="P668" i="12"/>
  <c r="R667" i="12"/>
  <c r="Q667" i="12"/>
  <c r="W665" i="12"/>
  <c r="V666" i="12"/>
  <c r="T667" i="12"/>
  <c r="U666" i="12"/>
  <c r="S667" i="12"/>
  <c r="B667" i="12"/>
  <c r="A668" i="12"/>
  <c r="AI667" i="12"/>
  <c r="AD665" i="12"/>
  <c r="AG665" i="12" s="1"/>
  <c r="AJ666" i="12"/>
  <c r="AK666" i="12"/>
  <c r="AC666" i="12"/>
  <c r="AA666" i="12"/>
  <c r="AB666" i="12"/>
  <c r="AF666" i="12" s="1"/>
  <c r="AI666" i="12"/>
  <c r="P72" i="5" l="1"/>
  <c r="X667" i="12"/>
  <c r="Y667" i="12"/>
  <c r="AG72" i="5"/>
  <c r="AA72" i="5"/>
  <c r="L73" i="5"/>
  <c r="AF73" i="5" s="1"/>
  <c r="Y73" i="5"/>
  <c r="N73" i="5" s="1"/>
  <c r="AD73" i="5"/>
  <c r="U74" i="5"/>
  <c r="J75" i="5"/>
  <c r="AD666" i="12"/>
  <c r="AG666" i="12" s="1"/>
  <c r="S668" i="12"/>
  <c r="B668" i="12"/>
  <c r="A669" i="12"/>
  <c r="AJ667" i="12"/>
  <c r="AK667" i="12"/>
  <c r="AB667" i="12"/>
  <c r="AF667" i="12" s="1"/>
  <c r="AC667" i="12"/>
  <c r="AA667" i="12"/>
  <c r="T668" i="12"/>
  <c r="U667" i="12"/>
  <c r="W666" i="12"/>
  <c r="V667" i="12"/>
  <c r="P669" i="12"/>
  <c r="R668" i="12"/>
  <c r="Q668" i="12"/>
  <c r="X668" i="12" l="1"/>
  <c r="Y668" i="12"/>
  <c r="AG73" i="5"/>
  <c r="AI668" i="12"/>
  <c r="AA73" i="5"/>
  <c r="P73" i="5"/>
  <c r="Y74" i="5"/>
  <c r="N74" i="5" s="1"/>
  <c r="AD74" i="5"/>
  <c r="L74" i="5"/>
  <c r="AF74" i="5" s="1"/>
  <c r="U75" i="5"/>
  <c r="AD667" i="12"/>
  <c r="AG667" i="12" s="1"/>
  <c r="J76" i="5"/>
  <c r="P670" i="12"/>
  <c r="R669" i="12"/>
  <c r="Q669" i="12"/>
  <c r="AI669" i="12" s="1"/>
  <c r="W667" i="12"/>
  <c r="V668" i="12"/>
  <c r="T669" i="12"/>
  <c r="U669" i="12" s="1"/>
  <c r="U668" i="12"/>
  <c r="A670" i="12"/>
  <c r="S669" i="12"/>
  <c r="B669" i="12"/>
  <c r="AJ668" i="12"/>
  <c r="AK668" i="12"/>
  <c r="AA668" i="12"/>
  <c r="AB668" i="12"/>
  <c r="AF668" i="12" s="1"/>
  <c r="AC668" i="12"/>
  <c r="X669" i="12" l="1"/>
  <c r="Y669" i="12"/>
  <c r="AA74" i="5"/>
  <c r="AD668" i="12"/>
  <c r="AG668" i="12" s="1"/>
  <c r="P74" i="5"/>
  <c r="AG74" i="5"/>
  <c r="L75" i="5"/>
  <c r="AF75" i="5" s="1"/>
  <c r="Y75" i="5"/>
  <c r="N75" i="5" s="1"/>
  <c r="AD75" i="5"/>
  <c r="U76" i="5"/>
  <c r="J77" i="5"/>
  <c r="AB669" i="12"/>
  <c r="AF669" i="12" s="1"/>
  <c r="AC669" i="12"/>
  <c r="AJ669" i="12"/>
  <c r="AA669" i="12"/>
  <c r="AK669" i="12"/>
  <c r="T670" i="12"/>
  <c r="U670" i="12" s="1"/>
  <c r="Q670" i="12"/>
  <c r="P671" i="12"/>
  <c r="R670" i="12"/>
  <c r="W668" i="12"/>
  <c r="V669" i="12"/>
  <c r="S670" i="12"/>
  <c r="A671" i="12"/>
  <c r="B670" i="12"/>
  <c r="X670" i="12" l="1"/>
  <c r="Y670" i="12"/>
  <c r="AI670" i="12"/>
  <c r="AG75" i="5"/>
  <c r="P75" i="5"/>
  <c r="AA75" i="5"/>
  <c r="Y76" i="5"/>
  <c r="N76" i="5" s="1"/>
  <c r="L76" i="5"/>
  <c r="U77" i="5"/>
  <c r="AD669" i="12"/>
  <c r="AG669" i="12" s="1"/>
  <c r="J78" i="5"/>
  <c r="V670" i="12"/>
  <c r="W669" i="12"/>
  <c r="AJ670" i="12"/>
  <c r="AK670" i="12"/>
  <c r="AC670" i="12"/>
  <c r="AB670" i="12"/>
  <c r="AF670" i="12" s="1"/>
  <c r="AA670" i="12"/>
  <c r="P672" i="12"/>
  <c r="R671" i="12"/>
  <c r="Q671" i="12"/>
  <c r="S671" i="12"/>
  <c r="B671" i="12"/>
  <c r="A672" i="12"/>
  <c r="T671" i="12"/>
  <c r="U671" i="12"/>
  <c r="AI671" i="12" l="1"/>
  <c r="X671" i="12"/>
  <c r="Y671" i="12"/>
  <c r="P76" i="5"/>
  <c r="AA76" i="5"/>
  <c r="AG76" i="5"/>
  <c r="L77" i="5"/>
  <c r="Y77" i="5"/>
  <c r="N77" i="5" s="1"/>
  <c r="U78" i="5"/>
  <c r="J79" i="5"/>
  <c r="AB671" i="12"/>
  <c r="AF671" i="12" s="1"/>
  <c r="AC671" i="12"/>
  <c r="AJ671" i="12"/>
  <c r="AA671" i="12"/>
  <c r="AK671" i="12"/>
  <c r="P673" i="12"/>
  <c r="R672" i="12"/>
  <c r="Q672" i="12"/>
  <c r="T672" i="12"/>
  <c r="A673" i="12"/>
  <c r="S672" i="12"/>
  <c r="B672" i="12"/>
  <c r="AD670" i="12"/>
  <c r="AG670" i="12" s="1"/>
  <c r="V671" i="12"/>
  <c r="W670" i="12"/>
  <c r="AI672" i="12" l="1"/>
  <c r="P77" i="5"/>
  <c r="X672" i="12"/>
  <c r="Y672" i="12"/>
  <c r="AG77" i="5"/>
  <c r="AA77" i="5"/>
  <c r="Y78" i="5"/>
  <c r="N78" i="5" s="1"/>
  <c r="L78" i="5"/>
  <c r="U79" i="5"/>
  <c r="J80" i="5"/>
  <c r="AD671" i="12"/>
  <c r="AG671" i="12" s="1"/>
  <c r="W671" i="12"/>
  <c r="V672" i="12"/>
  <c r="A674" i="12"/>
  <c r="B673" i="12"/>
  <c r="S673" i="12"/>
  <c r="AJ672" i="12"/>
  <c r="AB672" i="12"/>
  <c r="AF672" i="12" s="1"/>
  <c r="AC672" i="12"/>
  <c r="AA672" i="12"/>
  <c r="AK672" i="12"/>
  <c r="T673" i="12"/>
  <c r="U672" i="12"/>
  <c r="Q673" i="12"/>
  <c r="P674" i="12"/>
  <c r="R673" i="12"/>
  <c r="P78" i="5" l="1"/>
  <c r="X673" i="12"/>
  <c r="Y673" i="12"/>
  <c r="AA78" i="5"/>
  <c r="Y79" i="5"/>
  <c r="N79" i="5" s="1"/>
  <c r="P79" i="5" s="1"/>
  <c r="L79" i="5"/>
  <c r="U80" i="5"/>
  <c r="AG78" i="5"/>
  <c r="J81" i="5"/>
  <c r="T674" i="12"/>
  <c r="U673" i="12"/>
  <c r="AD672" i="12"/>
  <c r="AG672" i="12" s="1"/>
  <c r="B674" i="12"/>
  <c r="S674" i="12"/>
  <c r="A675" i="12"/>
  <c r="W672" i="12"/>
  <c r="V673" i="12"/>
  <c r="AI673" i="12"/>
  <c r="R674" i="12"/>
  <c r="Q674" i="12"/>
  <c r="P675" i="12"/>
  <c r="AB673" i="12"/>
  <c r="AF673" i="12" s="1"/>
  <c r="AC673" i="12"/>
  <c r="AJ673" i="12"/>
  <c r="AA673" i="12"/>
  <c r="AK673" i="12"/>
  <c r="X674" i="12" l="1"/>
  <c r="Y674" i="12"/>
  <c r="AG79" i="5"/>
  <c r="AA79" i="5"/>
  <c r="L80" i="5"/>
  <c r="Y80" i="5"/>
  <c r="N80" i="5" s="1"/>
  <c r="P80" i="5" s="1"/>
  <c r="U81" i="5"/>
  <c r="J82" i="5"/>
  <c r="AD673" i="12"/>
  <c r="AG673" i="12" s="1"/>
  <c r="AJ674" i="12"/>
  <c r="AA674" i="12"/>
  <c r="AK674" i="12"/>
  <c r="AC674" i="12"/>
  <c r="AB674" i="12"/>
  <c r="AF674" i="12" s="1"/>
  <c r="P676" i="12"/>
  <c r="R675" i="12"/>
  <c r="Q675" i="12"/>
  <c r="V674" i="12"/>
  <c r="W673" i="12"/>
  <c r="T675" i="12"/>
  <c r="U674" i="12"/>
  <c r="S675" i="12"/>
  <c r="B675" i="12"/>
  <c r="A676" i="12"/>
  <c r="AI674" i="12"/>
  <c r="X675" i="12" l="1"/>
  <c r="Y675" i="12"/>
  <c r="AI675" i="12"/>
  <c r="AA80" i="5"/>
  <c r="L81" i="5"/>
  <c r="Y81" i="5"/>
  <c r="N81" i="5" s="1"/>
  <c r="U82" i="5"/>
  <c r="AG80" i="5"/>
  <c r="J83" i="5"/>
  <c r="A677" i="12"/>
  <c r="S676" i="12"/>
  <c r="B676" i="12"/>
  <c r="T676" i="12"/>
  <c r="U675" i="12"/>
  <c r="AB675" i="12"/>
  <c r="AF675" i="12" s="1"/>
  <c r="AC675" i="12"/>
  <c r="AJ675" i="12"/>
  <c r="AA675" i="12"/>
  <c r="AK675" i="12"/>
  <c r="P677" i="12"/>
  <c r="R676" i="12"/>
  <c r="Q676" i="12"/>
  <c r="AD674" i="12"/>
  <c r="AG674" i="12" s="1"/>
  <c r="V675" i="12"/>
  <c r="W674" i="12"/>
  <c r="X676" i="12" l="1"/>
  <c r="Y676" i="12"/>
  <c r="AG81" i="5"/>
  <c r="AA81" i="5"/>
  <c r="Y82" i="5"/>
  <c r="N82" i="5" s="1"/>
  <c r="L82" i="5"/>
  <c r="U83" i="5"/>
  <c r="P81" i="5"/>
  <c r="AD675" i="12"/>
  <c r="AG675" i="12" s="1"/>
  <c r="J84" i="5"/>
  <c r="AI676" i="12"/>
  <c r="T677" i="12"/>
  <c r="W675" i="12"/>
  <c r="V676" i="12"/>
  <c r="Q677" i="12"/>
  <c r="P678" i="12"/>
  <c r="R677" i="12"/>
  <c r="U676" i="12"/>
  <c r="A678" i="12"/>
  <c r="B677" i="12"/>
  <c r="S677" i="12"/>
  <c r="AJ676" i="12"/>
  <c r="AC676" i="12"/>
  <c r="AA676" i="12"/>
  <c r="AK676" i="12"/>
  <c r="AB676" i="12"/>
  <c r="AF676" i="12" s="1"/>
  <c r="X677" i="12" l="1"/>
  <c r="Y677" i="12"/>
  <c r="AG82" i="5"/>
  <c r="AA82" i="5"/>
  <c r="P82" i="5"/>
  <c r="L83" i="5"/>
  <c r="Y83" i="5"/>
  <c r="N83" i="5" s="1"/>
  <c r="U84" i="5"/>
  <c r="J85" i="5"/>
  <c r="AD676" i="12"/>
  <c r="AG676" i="12" s="1"/>
  <c r="AB677" i="12"/>
  <c r="AF677" i="12" s="1"/>
  <c r="AC677" i="12"/>
  <c r="AJ677" i="12"/>
  <c r="AA677" i="12"/>
  <c r="AK677" i="12"/>
  <c r="B678" i="12"/>
  <c r="S678" i="12"/>
  <c r="A679" i="12"/>
  <c r="R678" i="12"/>
  <c r="Q678" i="12"/>
  <c r="P679" i="12"/>
  <c r="W676" i="12"/>
  <c r="V677" i="12"/>
  <c r="T678" i="12"/>
  <c r="U677" i="12"/>
  <c r="AI677" i="12"/>
  <c r="X678" i="12" l="1"/>
  <c r="Y678" i="12"/>
  <c r="P83" i="5"/>
  <c r="AI678" i="12"/>
  <c r="AD677" i="12"/>
  <c r="AG677" i="12" s="1"/>
  <c r="AA83" i="5"/>
  <c r="AG83" i="5"/>
  <c r="Y84" i="5"/>
  <c r="N84" i="5" s="1"/>
  <c r="L84" i="5"/>
  <c r="U85" i="5"/>
  <c r="J86" i="5"/>
  <c r="P680" i="12"/>
  <c r="R679" i="12"/>
  <c r="Q679" i="12"/>
  <c r="V678" i="12"/>
  <c r="W677" i="12"/>
  <c r="AJ678" i="12"/>
  <c r="AK678" i="12"/>
  <c r="AC678" i="12"/>
  <c r="AB678" i="12"/>
  <c r="AF678" i="12" s="1"/>
  <c r="AA678" i="12"/>
  <c r="T679" i="12"/>
  <c r="U679" i="12" s="1"/>
  <c r="U678" i="12"/>
  <c r="S679" i="12"/>
  <c r="B679" i="12"/>
  <c r="A680" i="12"/>
  <c r="AI679" i="12"/>
  <c r="P84" i="5" l="1"/>
  <c r="X679" i="12"/>
  <c r="Y679" i="12"/>
  <c r="AA84" i="5"/>
  <c r="AG84" i="5"/>
  <c r="Y85" i="5"/>
  <c r="N85" i="5" s="1"/>
  <c r="L85" i="5"/>
  <c r="U86" i="5"/>
  <c r="AD678" i="12"/>
  <c r="AG678" i="12" s="1"/>
  <c r="J87" i="5"/>
  <c r="V679" i="12"/>
  <c r="W678" i="12"/>
  <c r="AB679" i="12"/>
  <c r="AF679" i="12" s="1"/>
  <c r="AC679" i="12"/>
  <c r="AJ679" i="12"/>
  <c r="AA679" i="12"/>
  <c r="AK679" i="12"/>
  <c r="B680" i="12"/>
  <c r="A681" i="12"/>
  <c r="S680" i="12"/>
  <c r="T680" i="12"/>
  <c r="R680" i="12"/>
  <c r="P681" i="12"/>
  <c r="Q680" i="12"/>
  <c r="X680" i="12" l="1"/>
  <c r="Y680" i="12"/>
  <c r="AI680" i="12"/>
  <c r="AG85" i="5"/>
  <c r="P85" i="5"/>
  <c r="AA85" i="5"/>
  <c r="L86" i="5"/>
  <c r="Y86" i="5"/>
  <c r="N86" i="5" s="1"/>
  <c r="U87" i="5"/>
  <c r="AD679" i="12"/>
  <c r="AG679" i="12" s="1"/>
  <c r="J88" i="5"/>
  <c r="AJ680" i="12"/>
  <c r="AB680" i="12"/>
  <c r="AF680" i="12" s="1"/>
  <c r="AC680" i="12"/>
  <c r="AA680" i="12"/>
  <c r="AK680" i="12"/>
  <c r="P682" i="12"/>
  <c r="R681" i="12"/>
  <c r="Q681" i="12"/>
  <c r="V680" i="12"/>
  <c r="W679" i="12"/>
  <c r="T681" i="12"/>
  <c r="U681" i="12" s="1"/>
  <c r="U680" i="12"/>
  <c r="S681" i="12"/>
  <c r="B681" i="12"/>
  <c r="A682" i="12"/>
  <c r="AD680" i="12" l="1"/>
  <c r="AG680" i="12" s="1"/>
  <c r="X681" i="12"/>
  <c r="Y681" i="12"/>
  <c r="P86" i="5"/>
  <c r="AA86" i="5"/>
  <c r="AG86" i="5"/>
  <c r="Y87" i="5"/>
  <c r="N87" i="5" s="1"/>
  <c r="L87" i="5"/>
  <c r="U88" i="5"/>
  <c r="AI681" i="12"/>
  <c r="J89" i="5"/>
  <c r="AB681" i="12"/>
  <c r="AF681" i="12" s="1"/>
  <c r="AC681" i="12"/>
  <c r="AJ681" i="12"/>
  <c r="AA681" i="12"/>
  <c r="AK681" i="12"/>
  <c r="A683" i="12"/>
  <c r="S682" i="12"/>
  <c r="B682" i="12"/>
  <c r="T682" i="12"/>
  <c r="V681" i="12"/>
  <c r="W680" i="12"/>
  <c r="P683" i="12"/>
  <c r="R682" i="12"/>
  <c r="Q682" i="12"/>
  <c r="X682" i="12" l="1"/>
  <c r="Y682" i="12"/>
  <c r="AG87" i="5"/>
  <c r="AA87" i="5"/>
  <c r="P87" i="5"/>
  <c r="L88" i="5"/>
  <c r="Y88" i="5"/>
  <c r="N88" i="5" s="1"/>
  <c r="U89" i="5"/>
  <c r="J90" i="5"/>
  <c r="AD681" i="12"/>
  <c r="AG681" i="12" s="1"/>
  <c r="Q683" i="12"/>
  <c r="P684" i="12"/>
  <c r="R683" i="12"/>
  <c r="A684" i="12"/>
  <c r="S683" i="12"/>
  <c r="B683" i="12"/>
  <c r="W681" i="12"/>
  <c r="V682" i="12"/>
  <c r="AJ682" i="12"/>
  <c r="AA682" i="12"/>
  <c r="AK682" i="12"/>
  <c r="AC682" i="12"/>
  <c r="AB682" i="12"/>
  <c r="AF682" i="12" s="1"/>
  <c r="AI682" i="12"/>
  <c r="T683" i="12"/>
  <c r="U683" i="12" s="1"/>
  <c r="U682" i="12"/>
  <c r="AI683" i="12" l="1"/>
  <c r="X683" i="12"/>
  <c r="Y683" i="12"/>
  <c r="AG88" i="5"/>
  <c r="P88" i="5"/>
  <c r="AA88" i="5"/>
  <c r="Y89" i="5"/>
  <c r="N89" i="5" s="1"/>
  <c r="L89" i="5"/>
  <c r="U90" i="5"/>
  <c r="J91" i="5"/>
  <c r="AB683" i="12"/>
  <c r="AF683" i="12" s="1"/>
  <c r="AC683" i="12"/>
  <c r="AJ683" i="12"/>
  <c r="AA683" i="12"/>
  <c r="AK683" i="12"/>
  <c r="AD682" i="12"/>
  <c r="AG682" i="12" s="1"/>
  <c r="W682" i="12"/>
  <c r="V683" i="12"/>
  <c r="R684" i="12"/>
  <c r="Q684" i="12"/>
  <c r="P685" i="12"/>
  <c r="T684" i="12"/>
  <c r="U684" i="12" s="1"/>
  <c r="B684" i="12"/>
  <c r="A685" i="12"/>
  <c r="S684" i="12"/>
  <c r="P89" i="5" l="1"/>
  <c r="X684" i="12"/>
  <c r="Y684" i="12"/>
  <c r="AG89" i="5"/>
  <c r="AI684" i="12"/>
  <c r="AA89" i="5"/>
  <c r="L90" i="5"/>
  <c r="Y90" i="5"/>
  <c r="N90" i="5" s="1"/>
  <c r="U91" i="5"/>
  <c r="AD683" i="12"/>
  <c r="AG683" i="12" s="1"/>
  <c r="J92" i="5"/>
  <c r="S685" i="12"/>
  <c r="B685" i="12"/>
  <c r="A686" i="12"/>
  <c r="AJ684" i="12"/>
  <c r="AC684" i="12"/>
  <c r="AA684" i="12"/>
  <c r="AK684" i="12"/>
  <c r="AB684" i="12"/>
  <c r="AF684" i="12" s="1"/>
  <c r="V684" i="12"/>
  <c r="W683" i="12"/>
  <c r="T685" i="12"/>
  <c r="P686" i="12"/>
  <c r="R685" i="12"/>
  <c r="Q685" i="12"/>
  <c r="P90" i="5" l="1"/>
  <c r="X685" i="12"/>
  <c r="Y685" i="12"/>
  <c r="AI685" i="12"/>
  <c r="AG90" i="5"/>
  <c r="AA90" i="5"/>
  <c r="Y91" i="5"/>
  <c r="N91" i="5" s="1"/>
  <c r="P91" i="5" s="1"/>
  <c r="L91" i="5"/>
  <c r="U92" i="5"/>
  <c r="J93" i="5"/>
  <c r="P687" i="12"/>
  <c r="R686" i="12"/>
  <c r="Q686" i="12"/>
  <c r="AD684" i="12"/>
  <c r="AG684" i="12" s="1"/>
  <c r="A687" i="12"/>
  <c r="S686" i="12"/>
  <c r="B686" i="12"/>
  <c r="AB685" i="12"/>
  <c r="AF685" i="12" s="1"/>
  <c r="AC685" i="12"/>
  <c r="AJ685" i="12"/>
  <c r="AA685" i="12"/>
  <c r="AK685" i="12"/>
  <c r="T686" i="12"/>
  <c r="U686" i="12" s="1"/>
  <c r="V685" i="12"/>
  <c r="W684" i="12"/>
  <c r="U685" i="12"/>
  <c r="AI686" i="12" l="1"/>
  <c r="X686" i="12"/>
  <c r="Y686" i="12"/>
  <c r="AG91" i="5"/>
  <c r="AA91" i="5"/>
  <c r="Y92" i="5"/>
  <c r="N92" i="5" s="1"/>
  <c r="P92" i="5" s="1"/>
  <c r="L92" i="5"/>
  <c r="U93" i="5"/>
  <c r="J94" i="5"/>
  <c r="A688" i="12"/>
  <c r="S687" i="12"/>
  <c r="B687" i="12"/>
  <c r="T687" i="12"/>
  <c r="AJ686" i="12"/>
  <c r="AK686" i="12"/>
  <c r="AC686" i="12"/>
  <c r="AB686" i="12"/>
  <c r="AF686" i="12" s="1"/>
  <c r="AA686" i="12"/>
  <c r="Q687" i="12"/>
  <c r="P688" i="12"/>
  <c r="R687" i="12"/>
  <c r="W685" i="12"/>
  <c r="V686" i="12"/>
  <c r="AD685" i="12"/>
  <c r="AG685" i="12" s="1"/>
  <c r="X687" i="12" l="1"/>
  <c r="Y687" i="12"/>
  <c r="AG92" i="5"/>
  <c r="AA92" i="5"/>
  <c r="L93" i="5"/>
  <c r="Y93" i="5"/>
  <c r="N93" i="5" s="1"/>
  <c r="U94" i="5"/>
  <c r="J95" i="5"/>
  <c r="AB687" i="12"/>
  <c r="AF687" i="12" s="1"/>
  <c r="AC687" i="12"/>
  <c r="AJ687" i="12"/>
  <c r="AA687" i="12"/>
  <c r="AK687" i="12"/>
  <c r="T688" i="12"/>
  <c r="U688" i="12" s="1"/>
  <c r="U687" i="12"/>
  <c r="AD686" i="12"/>
  <c r="AG686" i="12" s="1"/>
  <c r="R688" i="12"/>
  <c r="Q688" i="12"/>
  <c r="P689" i="12"/>
  <c r="W686" i="12"/>
  <c r="V687" i="12"/>
  <c r="AI687" i="12"/>
  <c r="B688" i="12"/>
  <c r="A689" i="12"/>
  <c r="S688" i="12"/>
  <c r="X688" i="12" l="1"/>
  <c r="Y688" i="12"/>
  <c r="AA93" i="5"/>
  <c r="P93" i="5"/>
  <c r="AG93" i="5"/>
  <c r="L94" i="5"/>
  <c r="Y94" i="5"/>
  <c r="N94" i="5" s="1"/>
  <c r="U95" i="5"/>
  <c r="AI688" i="12"/>
  <c r="J96" i="5"/>
  <c r="V688" i="12"/>
  <c r="W687" i="12"/>
  <c r="T689" i="12"/>
  <c r="P690" i="12"/>
  <c r="R689" i="12"/>
  <c r="Q689" i="12"/>
  <c r="S689" i="12"/>
  <c r="B689" i="12"/>
  <c r="A690" i="12"/>
  <c r="AJ688" i="12"/>
  <c r="AB688" i="12"/>
  <c r="AF688" i="12" s="1"/>
  <c r="AC688" i="12"/>
  <c r="AA688" i="12"/>
  <c r="AK688" i="12"/>
  <c r="AD687" i="12"/>
  <c r="AG687" i="12" s="1"/>
  <c r="X689" i="12" l="1"/>
  <c r="Y689" i="12"/>
  <c r="P94" i="5"/>
  <c r="AG94" i="5"/>
  <c r="AA94" i="5"/>
  <c r="L95" i="5"/>
  <c r="Y95" i="5"/>
  <c r="N95" i="5" s="1"/>
  <c r="U96" i="5"/>
  <c r="J97" i="5"/>
  <c r="AD688" i="12"/>
  <c r="AG688" i="12" s="1"/>
  <c r="A691" i="12"/>
  <c r="S690" i="12"/>
  <c r="B690" i="12"/>
  <c r="AB689" i="12"/>
  <c r="AF689" i="12" s="1"/>
  <c r="AC689" i="12"/>
  <c r="AJ689" i="12"/>
  <c r="AA689" i="12"/>
  <c r="AK689" i="12"/>
  <c r="P691" i="12"/>
  <c r="R690" i="12"/>
  <c r="Q690" i="12"/>
  <c r="V689" i="12"/>
  <c r="W688" i="12"/>
  <c r="T690" i="12"/>
  <c r="U689" i="12"/>
  <c r="AI689" i="12"/>
  <c r="AI690" i="12" l="1"/>
  <c r="X690" i="12"/>
  <c r="Y690" i="12"/>
  <c r="AG95" i="5"/>
  <c r="Y96" i="5"/>
  <c r="N96" i="5" s="1"/>
  <c r="L96" i="5"/>
  <c r="U97" i="5"/>
  <c r="AA95" i="5"/>
  <c r="P95" i="5"/>
  <c r="J98" i="5"/>
  <c r="T691" i="12"/>
  <c r="U690" i="12"/>
  <c r="W689" i="12"/>
  <c r="V690" i="12"/>
  <c r="U691" i="12"/>
  <c r="A692" i="12"/>
  <c r="S691" i="12"/>
  <c r="B691" i="12"/>
  <c r="Q691" i="12"/>
  <c r="P692" i="12"/>
  <c r="R691" i="12"/>
  <c r="AD689" i="12"/>
  <c r="AG689" i="12" s="1"/>
  <c r="AJ690" i="12"/>
  <c r="AA690" i="12"/>
  <c r="AK690" i="12"/>
  <c r="AC690" i="12"/>
  <c r="AB690" i="12"/>
  <c r="AF690" i="12" s="1"/>
  <c r="X691" i="12" l="1"/>
  <c r="Y691" i="12"/>
  <c r="AG96" i="5"/>
  <c r="P96" i="5"/>
  <c r="AA96" i="5"/>
  <c r="L97" i="5"/>
  <c r="Y97" i="5"/>
  <c r="N97" i="5" s="1"/>
  <c r="U98" i="5"/>
  <c r="AI691" i="12"/>
  <c r="J99" i="5"/>
  <c r="AD690" i="12"/>
  <c r="AG690" i="12" s="1"/>
  <c r="B692" i="12"/>
  <c r="A693" i="12"/>
  <c r="S692" i="12"/>
  <c r="W690" i="12"/>
  <c r="V691" i="12"/>
  <c r="R692" i="12"/>
  <c r="Q692" i="12"/>
  <c r="P693" i="12"/>
  <c r="AB691" i="12"/>
  <c r="AF691" i="12" s="1"/>
  <c r="AC691" i="12"/>
  <c r="AJ691" i="12"/>
  <c r="AA691" i="12"/>
  <c r="AK691" i="12"/>
  <c r="T692" i="12"/>
  <c r="AI692" i="12" l="1"/>
  <c r="X692" i="12"/>
  <c r="Y692" i="12"/>
  <c r="AG97" i="5"/>
  <c r="P97" i="5"/>
  <c r="AA97" i="5"/>
  <c r="L98" i="5"/>
  <c r="Y98" i="5"/>
  <c r="N98" i="5" s="1"/>
  <c r="AG98" i="5" s="1"/>
  <c r="U99" i="5"/>
  <c r="J100" i="5"/>
  <c r="V692" i="12"/>
  <c r="W691" i="12"/>
  <c r="P694" i="12"/>
  <c r="R693" i="12"/>
  <c r="Q693" i="12"/>
  <c r="S693" i="12"/>
  <c r="B693" i="12"/>
  <c r="A694" i="12"/>
  <c r="T693" i="12"/>
  <c r="U692" i="12"/>
  <c r="AJ692" i="12"/>
  <c r="AC692" i="12"/>
  <c r="AA692" i="12"/>
  <c r="AK692" i="12"/>
  <c r="AB692" i="12"/>
  <c r="AF692" i="12" s="1"/>
  <c r="AD691" i="12"/>
  <c r="AG691" i="12" s="1"/>
  <c r="AI693" i="12" l="1"/>
  <c r="X693" i="12"/>
  <c r="Y693" i="12"/>
  <c r="AA98" i="5"/>
  <c r="P98" i="5"/>
  <c r="Y99" i="5"/>
  <c r="N99" i="5" s="1"/>
  <c r="L99" i="5"/>
  <c r="U100" i="5"/>
  <c r="J101" i="5"/>
  <c r="AD692" i="12"/>
  <c r="AG692" i="12" s="1"/>
  <c r="A695" i="12"/>
  <c r="S694" i="12"/>
  <c r="B694" i="12"/>
  <c r="AB693" i="12"/>
  <c r="AF693" i="12" s="1"/>
  <c r="AC693" i="12"/>
  <c r="AJ693" i="12"/>
  <c r="AA693" i="12"/>
  <c r="AK693" i="12"/>
  <c r="P695" i="12"/>
  <c r="R694" i="12"/>
  <c r="AI694" i="12" s="1"/>
  <c r="Q694" i="12"/>
  <c r="T694" i="12"/>
  <c r="U693" i="12"/>
  <c r="V693" i="12"/>
  <c r="W692" i="12"/>
  <c r="X694" i="12" l="1"/>
  <c r="Y694" i="12"/>
  <c r="P99" i="5"/>
  <c r="AA99" i="5"/>
  <c r="AG99" i="5"/>
  <c r="L100" i="5"/>
  <c r="Y100" i="5"/>
  <c r="N100" i="5" s="1"/>
  <c r="U101" i="5"/>
  <c r="J102" i="5"/>
  <c r="T695" i="12"/>
  <c r="U695" i="12" s="1"/>
  <c r="U694" i="12"/>
  <c r="A696" i="12"/>
  <c r="S695" i="12"/>
  <c r="B695" i="12"/>
  <c r="W693" i="12"/>
  <c r="V694" i="12"/>
  <c r="Q695" i="12"/>
  <c r="P696" i="12"/>
  <c r="R695" i="12"/>
  <c r="AD693" i="12"/>
  <c r="AG693" i="12" s="1"/>
  <c r="AJ694" i="12"/>
  <c r="AK694" i="12"/>
  <c r="AC694" i="12"/>
  <c r="AB694" i="12"/>
  <c r="AF694" i="12" s="1"/>
  <c r="AA694" i="12"/>
  <c r="X695" i="12" l="1"/>
  <c r="Y695" i="12"/>
  <c r="AA100" i="5"/>
  <c r="AG100" i="5"/>
  <c r="P100" i="5"/>
  <c r="L101" i="5"/>
  <c r="Y101" i="5"/>
  <c r="N101" i="5" s="1"/>
  <c r="U102" i="5"/>
  <c r="AI695" i="12"/>
  <c r="AD694" i="12"/>
  <c r="AG694" i="12" s="1"/>
  <c r="J103" i="5"/>
  <c r="AB695" i="12"/>
  <c r="AF695" i="12" s="1"/>
  <c r="AC695" i="12"/>
  <c r="AJ695" i="12"/>
  <c r="AA695" i="12"/>
  <c r="AK695" i="12"/>
  <c r="W694" i="12"/>
  <c r="V695" i="12"/>
  <c r="R696" i="12"/>
  <c r="Q696" i="12"/>
  <c r="P697" i="12"/>
  <c r="T696" i="12"/>
  <c r="B696" i="12"/>
  <c r="A697" i="12"/>
  <c r="S696" i="12"/>
  <c r="AD695" i="12" l="1"/>
  <c r="AG695" i="12" s="1"/>
  <c r="AI696" i="12"/>
  <c r="X696" i="12"/>
  <c r="Y696" i="12"/>
  <c r="P101" i="5"/>
  <c r="AG101" i="5"/>
  <c r="AA101" i="5"/>
  <c r="Y102" i="5"/>
  <c r="N102" i="5" s="1"/>
  <c r="L102" i="5"/>
  <c r="U103" i="5"/>
  <c r="J104" i="5"/>
  <c r="P698" i="12"/>
  <c r="R697" i="12"/>
  <c r="Q697" i="12"/>
  <c r="AI697" i="12" s="1"/>
  <c r="AJ696" i="12"/>
  <c r="AB696" i="12"/>
  <c r="AF696" i="12" s="1"/>
  <c r="AC696" i="12"/>
  <c r="AA696" i="12"/>
  <c r="AK696" i="12"/>
  <c r="V696" i="12"/>
  <c r="W695" i="12"/>
  <c r="S697" i="12"/>
  <c r="B697" i="12"/>
  <c r="A698" i="12"/>
  <c r="T697" i="12"/>
  <c r="U697" i="12" s="1"/>
  <c r="U696" i="12"/>
  <c r="P102" i="5" l="1"/>
  <c r="X697" i="12"/>
  <c r="Y697" i="12"/>
  <c r="AD696" i="12"/>
  <c r="AG696" i="12" s="1"/>
  <c r="AA102" i="5"/>
  <c r="AG102" i="5"/>
  <c r="L103" i="5"/>
  <c r="Y103" i="5"/>
  <c r="N103" i="5" s="1"/>
  <c r="U104" i="5"/>
  <c r="J105" i="5"/>
  <c r="P699" i="12"/>
  <c r="R698" i="12"/>
  <c r="Q698" i="12"/>
  <c r="A699" i="12"/>
  <c r="S698" i="12"/>
  <c r="B698" i="12"/>
  <c r="T698" i="12"/>
  <c r="AB697" i="12"/>
  <c r="AF697" i="12" s="1"/>
  <c r="AC697" i="12"/>
  <c r="AJ697" i="12"/>
  <c r="AA697" i="12"/>
  <c r="AK697" i="12"/>
  <c r="V697" i="12"/>
  <c r="W696" i="12"/>
  <c r="AI698" i="12" l="1"/>
  <c r="X698" i="12"/>
  <c r="Y698" i="12"/>
  <c r="AA103" i="5"/>
  <c r="P103" i="5"/>
  <c r="AG103" i="5"/>
  <c r="L104" i="5"/>
  <c r="Y104" i="5"/>
  <c r="N104" i="5" s="1"/>
  <c r="U105" i="5"/>
  <c r="J106" i="5"/>
  <c r="W697" i="12"/>
  <c r="V698" i="12"/>
  <c r="A700" i="12"/>
  <c r="S699" i="12"/>
  <c r="B699" i="12"/>
  <c r="Q699" i="12"/>
  <c r="P700" i="12"/>
  <c r="R699" i="12"/>
  <c r="AD697" i="12"/>
  <c r="AG697" i="12" s="1"/>
  <c r="T699" i="12"/>
  <c r="U699" i="12" s="1"/>
  <c r="U698" i="12"/>
  <c r="AJ698" i="12"/>
  <c r="AA698" i="12"/>
  <c r="AK698" i="12"/>
  <c r="AC698" i="12"/>
  <c r="AB698" i="12"/>
  <c r="AF698" i="12" s="1"/>
  <c r="X699" i="12" l="1"/>
  <c r="Y699" i="12"/>
  <c r="AG104" i="5"/>
  <c r="AI699" i="12"/>
  <c r="AA104" i="5"/>
  <c r="Y105" i="5"/>
  <c r="N105" i="5" s="1"/>
  <c r="L105" i="5"/>
  <c r="U106" i="5"/>
  <c r="P104" i="5"/>
  <c r="J107" i="5"/>
  <c r="AB699" i="12"/>
  <c r="AF699" i="12" s="1"/>
  <c r="AC699" i="12"/>
  <c r="AD699" i="12" s="1"/>
  <c r="AG699" i="12" s="1"/>
  <c r="AJ699" i="12"/>
  <c r="AA699" i="12"/>
  <c r="AK699" i="12"/>
  <c r="W698" i="12"/>
  <c r="V699" i="12"/>
  <c r="T700" i="12"/>
  <c r="R700" i="12"/>
  <c r="AI700" i="12" s="1"/>
  <c r="Q700" i="12"/>
  <c r="P701" i="12"/>
  <c r="U700" i="12"/>
  <c r="AD698" i="12"/>
  <c r="AG698" i="12" s="1"/>
  <c r="B700" i="12"/>
  <c r="A701" i="12"/>
  <c r="S700" i="12"/>
  <c r="AA105" i="5" l="1"/>
  <c r="X700" i="12"/>
  <c r="Y700" i="12"/>
  <c r="AG105" i="5"/>
  <c r="P105" i="5"/>
  <c r="Y106" i="5"/>
  <c r="N106" i="5" s="1"/>
  <c r="L106" i="5"/>
  <c r="U107" i="5"/>
  <c r="J108" i="5"/>
  <c r="AJ700" i="12"/>
  <c r="AC700" i="12"/>
  <c r="AA700" i="12"/>
  <c r="AK700" i="12"/>
  <c r="AB700" i="12"/>
  <c r="AF700" i="12" s="1"/>
  <c r="P702" i="12"/>
  <c r="R701" i="12"/>
  <c r="Q701" i="12"/>
  <c r="AI701" i="12" s="1"/>
  <c r="T701" i="12"/>
  <c r="S701" i="12"/>
  <c r="B701" i="12"/>
  <c r="A702" i="12"/>
  <c r="V700" i="12"/>
  <c r="W699" i="12"/>
  <c r="X701" i="12" l="1"/>
  <c r="Y701" i="12"/>
  <c r="P106" i="5"/>
  <c r="AG106" i="5"/>
  <c r="AA106" i="5"/>
  <c r="Y107" i="5"/>
  <c r="N107" i="5" s="1"/>
  <c r="L107" i="5"/>
  <c r="U108" i="5"/>
  <c r="J109" i="5"/>
  <c r="A703" i="12"/>
  <c r="S702" i="12"/>
  <c r="B702" i="12"/>
  <c r="V701" i="12"/>
  <c r="W700" i="12"/>
  <c r="AB701" i="12"/>
  <c r="AF701" i="12" s="1"/>
  <c r="AC701" i="12"/>
  <c r="AJ701" i="12"/>
  <c r="AA701" i="12"/>
  <c r="AK701" i="12"/>
  <c r="T702" i="12"/>
  <c r="U702" i="12" s="1"/>
  <c r="U701" i="12"/>
  <c r="P703" i="12"/>
  <c r="R702" i="12"/>
  <c r="Q702" i="12"/>
  <c r="AI702" i="12" s="1"/>
  <c r="AD700" i="12"/>
  <c r="AG700" i="12" s="1"/>
  <c r="X702" i="12" l="1"/>
  <c r="Y702" i="12"/>
  <c r="P107" i="5"/>
  <c r="AG107" i="5"/>
  <c r="AA107" i="5"/>
  <c r="Y108" i="5"/>
  <c r="N108" i="5" s="1"/>
  <c r="L108" i="5"/>
  <c r="U109" i="5"/>
  <c r="J110" i="5"/>
  <c r="Q703" i="12"/>
  <c r="P704" i="12"/>
  <c r="R703" i="12"/>
  <c r="T703" i="12"/>
  <c r="U703" i="12" s="1"/>
  <c r="W701" i="12"/>
  <c r="V702" i="12"/>
  <c r="A704" i="12"/>
  <c r="S703" i="12"/>
  <c r="B703" i="12"/>
  <c r="AI703" i="12"/>
  <c r="AD701" i="12"/>
  <c r="AG701" i="12" s="1"/>
  <c r="AJ702" i="12"/>
  <c r="AK702" i="12"/>
  <c r="AC702" i="12"/>
  <c r="AB702" i="12"/>
  <c r="AF702" i="12" s="1"/>
  <c r="AA702" i="12"/>
  <c r="X703" i="12" l="1"/>
  <c r="Y703" i="12"/>
  <c r="AG108" i="5"/>
  <c r="P108" i="5"/>
  <c r="AA108" i="5"/>
  <c r="Y109" i="5"/>
  <c r="N109" i="5" s="1"/>
  <c r="L109" i="5"/>
  <c r="U110" i="5"/>
  <c r="AD702" i="12"/>
  <c r="AG702" i="12" s="1"/>
  <c r="J111" i="5"/>
  <c r="A705" i="12"/>
  <c r="B704" i="12"/>
  <c r="S704" i="12"/>
  <c r="R704" i="12"/>
  <c r="P705" i="12"/>
  <c r="Q704" i="12"/>
  <c r="AB703" i="12"/>
  <c r="AF703" i="12" s="1"/>
  <c r="AC703" i="12"/>
  <c r="AJ703" i="12"/>
  <c r="AA703" i="12"/>
  <c r="AK703" i="12"/>
  <c r="W702" i="12"/>
  <c r="V703" i="12"/>
  <c r="T704" i="12"/>
  <c r="X704" i="12" l="1"/>
  <c r="Y704" i="12"/>
  <c r="AI704" i="12"/>
  <c r="P109" i="5"/>
  <c r="AA109" i="5"/>
  <c r="AG109" i="5"/>
  <c r="L110" i="5"/>
  <c r="Y110" i="5"/>
  <c r="N110" i="5" s="1"/>
  <c r="P110" i="5" s="1"/>
  <c r="U111" i="5"/>
  <c r="AD703" i="12"/>
  <c r="AG703" i="12" s="1"/>
  <c r="J112" i="5"/>
  <c r="T705" i="12"/>
  <c r="U704" i="12"/>
  <c r="U705" i="12"/>
  <c r="AJ704" i="12"/>
  <c r="AB704" i="12"/>
  <c r="AF704" i="12" s="1"/>
  <c r="AC704" i="12"/>
  <c r="AA704" i="12"/>
  <c r="AK704" i="12"/>
  <c r="B705" i="12"/>
  <c r="S705" i="12"/>
  <c r="A706" i="12"/>
  <c r="V704" i="12"/>
  <c r="W703" i="12"/>
  <c r="R705" i="12"/>
  <c r="Q705" i="12"/>
  <c r="P706" i="12"/>
  <c r="X705" i="12" l="1"/>
  <c r="Y705" i="12"/>
  <c r="AG110" i="5"/>
  <c r="AA110" i="5"/>
  <c r="Y111" i="5"/>
  <c r="N111" i="5" s="1"/>
  <c r="L111" i="5"/>
  <c r="U112" i="5"/>
  <c r="J113" i="5"/>
  <c r="P111" i="5"/>
  <c r="AD704" i="12"/>
  <c r="AG704" i="12" s="1"/>
  <c r="P707" i="12"/>
  <c r="R706" i="12"/>
  <c r="Q706" i="12"/>
  <c r="V705" i="12"/>
  <c r="W704" i="12"/>
  <c r="AB705" i="12"/>
  <c r="AF705" i="12" s="1"/>
  <c r="AC705" i="12"/>
  <c r="AJ705" i="12"/>
  <c r="AA705" i="12"/>
  <c r="AK705" i="12"/>
  <c r="AI706" i="12"/>
  <c r="AI705" i="12"/>
  <c r="T706" i="12"/>
  <c r="S706" i="12"/>
  <c r="B706" i="12"/>
  <c r="A707" i="12"/>
  <c r="X706" i="12" l="1"/>
  <c r="Y706" i="12"/>
  <c r="AA111" i="5"/>
  <c r="AG111" i="5"/>
  <c r="Y112" i="5"/>
  <c r="N112" i="5" s="1"/>
  <c r="P112" i="5" s="1"/>
  <c r="L112" i="5"/>
  <c r="U113" i="5"/>
  <c r="AD705" i="12"/>
  <c r="AG705" i="12" s="1"/>
  <c r="J114" i="5"/>
  <c r="V706" i="12"/>
  <c r="W705" i="12"/>
  <c r="T707" i="12"/>
  <c r="U706" i="12"/>
  <c r="A708" i="12"/>
  <c r="S707" i="12"/>
  <c r="B707" i="12"/>
  <c r="AJ706" i="12"/>
  <c r="AA706" i="12"/>
  <c r="AK706" i="12"/>
  <c r="AC706" i="12"/>
  <c r="AB706" i="12"/>
  <c r="AF706" i="12" s="1"/>
  <c r="U707" i="12"/>
  <c r="P708" i="12"/>
  <c r="R707" i="12"/>
  <c r="Q707" i="12"/>
  <c r="X707" i="12" l="1"/>
  <c r="Y707" i="12"/>
  <c r="AA112" i="5"/>
  <c r="L113" i="5"/>
  <c r="Y113" i="5"/>
  <c r="N113" i="5" s="1"/>
  <c r="P113" i="5" s="1"/>
  <c r="U114" i="5"/>
  <c r="AG112" i="5"/>
  <c r="J115" i="5"/>
  <c r="Q708" i="12"/>
  <c r="P709" i="12"/>
  <c r="R708" i="12"/>
  <c r="A709" i="12"/>
  <c r="S708" i="12"/>
  <c r="B708" i="12"/>
  <c r="AB707" i="12"/>
  <c r="AF707" i="12" s="1"/>
  <c r="AC707" i="12"/>
  <c r="AJ707" i="12"/>
  <c r="AA707" i="12"/>
  <c r="AK707" i="12"/>
  <c r="AI707" i="12"/>
  <c r="T708" i="12"/>
  <c r="W706" i="12"/>
  <c r="V707" i="12"/>
  <c r="AD706" i="12"/>
  <c r="AG706" i="12" s="1"/>
  <c r="X708" i="12" l="1"/>
  <c r="Y708" i="12"/>
  <c r="AA113" i="5"/>
  <c r="AG113" i="5"/>
  <c r="Y114" i="5"/>
  <c r="N114" i="5" s="1"/>
  <c r="L114" i="5"/>
  <c r="U115" i="5"/>
  <c r="AD707" i="12"/>
  <c r="AG707" i="12" s="1"/>
  <c r="T709" i="12"/>
  <c r="U709" i="12" s="1"/>
  <c r="U708" i="12"/>
  <c r="AJ708" i="12"/>
  <c r="AC708" i="12"/>
  <c r="AA708" i="12"/>
  <c r="AK708" i="12"/>
  <c r="AB708" i="12"/>
  <c r="AF708" i="12" s="1"/>
  <c r="R709" i="12"/>
  <c r="Q709" i="12"/>
  <c r="P710" i="12"/>
  <c r="W707" i="12"/>
  <c r="V708" i="12"/>
  <c r="B709" i="12"/>
  <c r="S709" i="12"/>
  <c r="A710" i="12"/>
  <c r="AI708" i="12"/>
  <c r="X709" i="12" l="1"/>
  <c r="Y709" i="12"/>
  <c r="AG114" i="5"/>
  <c r="P114" i="5"/>
  <c r="AA114" i="5"/>
  <c r="Y115" i="5"/>
  <c r="N115" i="5" s="1"/>
  <c r="L115" i="5"/>
  <c r="AI709" i="12"/>
  <c r="S710" i="12"/>
  <c r="B710" i="12"/>
  <c r="A711" i="12"/>
  <c r="V709" i="12"/>
  <c r="W708" i="12"/>
  <c r="AD708" i="12"/>
  <c r="AG708" i="12" s="1"/>
  <c r="T710" i="12"/>
  <c r="AB709" i="12"/>
  <c r="AF709" i="12" s="1"/>
  <c r="AC709" i="12"/>
  <c r="AD709" i="12" s="1"/>
  <c r="AG709" i="12" s="1"/>
  <c r="AJ709" i="12"/>
  <c r="AA709" i="12"/>
  <c r="AK709" i="12"/>
  <c r="P711" i="12"/>
  <c r="R710" i="12"/>
  <c r="Q710" i="12"/>
  <c r="P115" i="5" l="1"/>
  <c r="X710" i="12"/>
  <c r="Y710" i="12"/>
  <c r="AG115" i="5"/>
  <c r="AA115" i="5"/>
  <c r="AI710" i="12"/>
  <c r="P712" i="12"/>
  <c r="R711" i="12"/>
  <c r="Q711" i="12"/>
  <c r="A712" i="12"/>
  <c r="S711" i="12"/>
  <c r="B711" i="12"/>
  <c r="AJ710" i="12"/>
  <c r="AK710" i="12"/>
  <c r="AC710" i="12"/>
  <c r="AB710" i="12"/>
  <c r="AF710" i="12" s="1"/>
  <c r="AA710" i="12"/>
  <c r="T711" i="12"/>
  <c r="U710" i="12"/>
  <c r="V710" i="12"/>
  <c r="W709" i="12"/>
  <c r="X711" i="12" l="1"/>
  <c r="Y711" i="12"/>
  <c r="AD710" i="12"/>
  <c r="AG710" i="12" s="1"/>
  <c r="W710" i="12"/>
  <c r="V711" i="12"/>
  <c r="A713" i="12"/>
  <c r="S712" i="12"/>
  <c r="B712" i="12"/>
  <c r="AB711" i="12"/>
  <c r="AF711" i="12" s="1"/>
  <c r="AC711" i="12"/>
  <c r="AJ711" i="12"/>
  <c r="AA711" i="12"/>
  <c r="AK711" i="12"/>
  <c r="AI711" i="12"/>
  <c r="P713" i="12"/>
  <c r="Q712" i="12"/>
  <c r="R712" i="12"/>
  <c r="T712" i="12"/>
  <c r="U711" i="12"/>
  <c r="X712" i="12" l="1"/>
  <c r="Y712" i="12"/>
  <c r="AD711" i="12"/>
  <c r="AG711" i="12" s="1"/>
  <c r="A714" i="12"/>
  <c r="B713" i="12"/>
  <c r="S713" i="12"/>
  <c r="AJ712" i="12"/>
  <c r="AB712" i="12"/>
  <c r="AF712" i="12" s="1"/>
  <c r="AC712" i="12"/>
  <c r="AA712" i="12"/>
  <c r="AK712" i="12"/>
  <c r="AI712" i="12"/>
  <c r="T713" i="12"/>
  <c r="U712" i="12"/>
  <c r="P714" i="12"/>
  <c r="R713" i="12"/>
  <c r="Q713" i="12"/>
  <c r="W711" i="12"/>
  <c r="V712" i="12"/>
  <c r="AD712" i="12" l="1"/>
  <c r="AG712" i="12" s="1"/>
  <c r="X713" i="12"/>
  <c r="Y713" i="12"/>
  <c r="V713" i="12"/>
  <c r="W712" i="12"/>
  <c r="AB713" i="12"/>
  <c r="AF713" i="12" s="1"/>
  <c r="AC713" i="12"/>
  <c r="AD713" i="12" s="1"/>
  <c r="AG713" i="12" s="1"/>
  <c r="AJ713" i="12"/>
  <c r="AA713" i="12"/>
  <c r="AK713" i="12"/>
  <c r="T714" i="12"/>
  <c r="U713" i="12"/>
  <c r="AI713" i="12"/>
  <c r="A715" i="12"/>
  <c r="S714" i="12"/>
  <c r="B714" i="12"/>
  <c r="Q714" i="12"/>
  <c r="P715" i="12"/>
  <c r="R714" i="12"/>
  <c r="X714" i="12" l="1"/>
  <c r="Y714" i="12"/>
  <c r="AI714" i="12"/>
  <c r="R715" i="12"/>
  <c r="Q715" i="12"/>
  <c r="P716" i="12"/>
  <c r="B715" i="12"/>
  <c r="A716" i="12"/>
  <c r="S715" i="12"/>
  <c r="AJ714" i="12"/>
  <c r="AA714" i="12"/>
  <c r="AK714" i="12"/>
  <c r="AC714" i="12"/>
  <c r="AB714" i="12"/>
  <c r="AF714" i="12" s="1"/>
  <c r="T715" i="12"/>
  <c r="U714" i="12"/>
  <c r="W713" i="12"/>
  <c r="V714" i="12"/>
  <c r="AI715" i="12" l="1"/>
  <c r="X715" i="12"/>
  <c r="Y715" i="12"/>
  <c r="AD714" i="12"/>
  <c r="AG714" i="12" s="1"/>
  <c r="V715" i="12"/>
  <c r="W714" i="12"/>
  <c r="P717" i="12"/>
  <c r="R716" i="12"/>
  <c r="AI716" i="12" s="1"/>
  <c r="Q716" i="12"/>
  <c r="T716" i="12"/>
  <c r="U715" i="12"/>
  <c r="S716" i="12"/>
  <c r="B716" i="12"/>
  <c r="A717" i="12"/>
  <c r="AB715" i="12"/>
  <c r="AF715" i="12" s="1"/>
  <c r="AC715" i="12"/>
  <c r="AJ715" i="12"/>
  <c r="AA715" i="12"/>
  <c r="AK715" i="12"/>
  <c r="X716" i="12" l="1"/>
  <c r="Y716" i="12"/>
  <c r="AD715" i="12"/>
  <c r="AG715" i="12" s="1"/>
  <c r="A718" i="12"/>
  <c r="S717" i="12"/>
  <c r="B717" i="12"/>
  <c r="T717" i="12"/>
  <c r="U716" i="12"/>
  <c r="P718" i="12"/>
  <c r="R717" i="12"/>
  <c r="Q717" i="12"/>
  <c r="AJ716" i="12"/>
  <c r="AC716" i="12"/>
  <c r="AA716" i="12"/>
  <c r="AK716" i="12"/>
  <c r="AB716" i="12"/>
  <c r="AF716" i="12" s="1"/>
  <c r="V716" i="12"/>
  <c r="W715" i="12"/>
  <c r="AI717" i="12" l="1"/>
  <c r="X717" i="12"/>
  <c r="Y717" i="12"/>
  <c r="AD716" i="12"/>
  <c r="AG716" i="12" s="1"/>
  <c r="Q718" i="12"/>
  <c r="P719" i="12"/>
  <c r="R718" i="12"/>
  <c r="AI718" i="12" s="1"/>
  <c r="AB717" i="12"/>
  <c r="AF717" i="12" s="1"/>
  <c r="AC717" i="12"/>
  <c r="AJ717" i="12"/>
  <c r="AA717" i="12"/>
  <c r="AK717" i="12"/>
  <c r="T718" i="12"/>
  <c r="U718" i="12" s="1"/>
  <c r="U717" i="12"/>
  <c r="W716" i="12"/>
  <c r="V717" i="12"/>
  <c r="A719" i="12"/>
  <c r="S718" i="12"/>
  <c r="B718" i="12"/>
  <c r="X718" i="12" l="1"/>
  <c r="Y718" i="12"/>
  <c r="AD717" i="12"/>
  <c r="AG717" i="12" s="1"/>
  <c r="B719" i="12"/>
  <c r="A720" i="12"/>
  <c r="S719" i="12"/>
  <c r="T719" i="12"/>
  <c r="U719" i="12" s="1"/>
  <c r="AJ718" i="12"/>
  <c r="AK718" i="12"/>
  <c r="AC718" i="12"/>
  <c r="AB718" i="12"/>
  <c r="AF718" i="12" s="1"/>
  <c r="AA718" i="12"/>
  <c r="R719" i="12"/>
  <c r="Q719" i="12"/>
  <c r="P720" i="12"/>
  <c r="W717" i="12"/>
  <c r="V718" i="12"/>
  <c r="X719" i="12" l="1"/>
  <c r="Y719" i="12"/>
  <c r="AI719" i="12"/>
  <c r="P721" i="12"/>
  <c r="R720" i="12"/>
  <c r="Q720" i="12"/>
  <c r="AD718" i="12"/>
  <c r="AG718" i="12" s="1"/>
  <c r="T720" i="12"/>
  <c r="U720" i="12" s="1"/>
  <c r="S720" i="12"/>
  <c r="B720" i="12"/>
  <c r="A721" i="12"/>
  <c r="V719" i="12"/>
  <c r="W718" i="12"/>
  <c r="AB719" i="12"/>
  <c r="AF719" i="12" s="1"/>
  <c r="AC719" i="12"/>
  <c r="AJ719" i="12"/>
  <c r="AA719" i="12"/>
  <c r="AK719" i="12"/>
  <c r="AI720" i="12" l="1"/>
  <c r="X720" i="12"/>
  <c r="Y720" i="12"/>
  <c r="AD719" i="12"/>
  <c r="AG719" i="12" s="1"/>
  <c r="V720" i="12"/>
  <c r="W719" i="12"/>
  <c r="T721" i="12"/>
  <c r="A722" i="12"/>
  <c r="S721" i="12"/>
  <c r="B721" i="12"/>
  <c r="AJ720" i="12"/>
  <c r="AB720" i="12"/>
  <c r="AF720" i="12" s="1"/>
  <c r="AC720" i="12"/>
  <c r="AA720" i="12"/>
  <c r="AK720" i="12"/>
  <c r="P722" i="12"/>
  <c r="R721" i="12"/>
  <c r="Q721" i="12"/>
  <c r="X721" i="12" l="1"/>
  <c r="Y721" i="12"/>
  <c r="T722" i="12"/>
  <c r="U722" i="12" s="1"/>
  <c r="U721" i="12"/>
  <c r="Q722" i="12"/>
  <c r="P723" i="12"/>
  <c r="R722" i="12"/>
  <c r="A723" i="12"/>
  <c r="S722" i="12"/>
  <c r="B722" i="12"/>
  <c r="AB721" i="12"/>
  <c r="AF721" i="12" s="1"/>
  <c r="AC721" i="12"/>
  <c r="AJ721" i="12"/>
  <c r="AA721" i="12"/>
  <c r="AK721" i="12"/>
  <c r="AI721" i="12"/>
  <c r="AD720" i="12"/>
  <c r="AG720" i="12" s="1"/>
  <c r="W720" i="12"/>
  <c r="V721" i="12"/>
  <c r="X722" i="12" l="1"/>
  <c r="Y722" i="12"/>
  <c r="AI722" i="12"/>
  <c r="R723" i="12"/>
  <c r="Q723" i="12"/>
  <c r="P724" i="12"/>
  <c r="B723" i="12"/>
  <c r="A724" i="12"/>
  <c r="S723" i="12"/>
  <c r="T723" i="12"/>
  <c r="W721" i="12"/>
  <c r="V722" i="12"/>
  <c r="AD721" i="12"/>
  <c r="AG721" i="12" s="1"/>
  <c r="AJ722" i="12"/>
  <c r="AA722" i="12"/>
  <c r="AK722" i="12"/>
  <c r="AC722" i="12"/>
  <c r="AB722" i="12"/>
  <c r="AF722" i="12" s="1"/>
  <c r="AI723" i="12" l="1"/>
  <c r="X723" i="12"/>
  <c r="Y723" i="12"/>
  <c r="V723" i="12"/>
  <c r="W722" i="12"/>
  <c r="P725" i="12"/>
  <c r="R724" i="12"/>
  <c r="Q724" i="12"/>
  <c r="T724" i="12"/>
  <c r="U723" i="12"/>
  <c r="U724" i="12"/>
  <c r="S724" i="12"/>
  <c r="B724" i="12"/>
  <c r="A725" i="12"/>
  <c r="AD722" i="12"/>
  <c r="AG722" i="12" s="1"/>
  <c r="AB723" i="12"/>
  <c r="AF723" i="12" s="1"/>
  <c r="AC723" i="12"/>
  <c r="AJ723" i="12"/>
  <c r="AA723" i="12"/>
  <c r="AK723" i="12"/>
  <c r="AI724" i="12" l="1"/>
  <c r="X724" i="12"/>
  <c r="Y724" i="12"/>
  <c r="AD723" i="12"/>
  <c r="AG723" i="12" s="1"/>
  <c r="A726" i="12"/>
  <c r="S725" i="12"/>
  <c r="B725" i="12"/>
  <c r="T725" i="12"/>
  <c r="P726" i="12"/>
  <c r="R725" i="12"/>
  <c r="Q725" i="12"/>
  <c r="AJ724" i="12"/>
  <c r="AC724" i="12"/>
  <c r="AA724" i="12"/>
  <c r="AK724" i="12"/>
  <c r="AB724" i="12"/>
  <c r="AF724" i="12" s="1"/>
  <c r="V724" i="12"/>
  <c r="W723" i="12"/>
  <c r="X725" i="12" l="1"/>
  <c r="Y725" i="12"/>
  <c r="AI725" i="12"/>
  <c r="AD724" i="12"/>
  <c r="AG724" i="12" s="1"/>
  <c r="Q726" i="12"/>
  <c r="P727" i="12"/>
  <c r="R726" i="12"/>
  <c r="AB725" i="12"/>
  <c r="AF725" i="12" s="1"/>
  <c r="AC725" i="12"/>
  <c r="AJ725" i="12"/>
  <c r="AA725" i="12"/>
  <c r="AK725" i="12"/>
  <c r="T726" i="12"/>
  <c r="U726" i="12" s="1"/>
  <c r="U725" i="12"/>
  <c r="W724" i="12"/>
  <c r="V725" i="12"/>
  <c r="A727" i="12"/>
  <c r="S726" i="12"/>
  <c r="B726" i="12"/>
  <c r="X726" i="12" l="1"/>
  <c r="Y726" i="12"/>
  <c r="AI726" i="12"/>
  <c r="AD725" i="12"/>
  <c r="AG725" i="12" s="1"/>
  <c r="B727" i="12"/>
  <c r="A728" i="12"/>
  <c r="S727" i="12"/>
  <c r="T727" i="12"/>
  <c r="AJ726" i="12"/>
  <c r="AK726" i="12"/>
  <c r="AC726" i="12"/>
  <c r="AB726" i="12"/>
  <c r="AF726" i="12" s="1"/>
  <c r="AA726" i="12"/>
  <c r="R727" i="12"/>
  <c r="Q727" i="12"/>
  <c r="P728" i="12"/>
  <c r="W725" i="12"/>
  <c r="V726" i="12"/>
  <c r="X727" i="12" l="1"/>
  <c r="Y727" i="12"/>
  <c r="AI727" i="12"/>
  <c r="AD726" i="12"/>
  <c r="AG726" i="12" s="1"/>
  <c r="P729" i="12"/>
  <c r="R728" i="12"/>
  <c r="Q728" i="12"/>
  <c r="T728" i="12"/>
  <c r="U727" i="12"/>
  <c r="S728" i="12"/>
  <c r="B728" i="12"/>
  <c r="A729" i="12"/>
  <c r="V727" i="12"/>
  <c r="W726" i="12"/>
  <c r="AB727" i="12"/>
  <c r="AF727" i="12" s="1"/>
  <c r="AC727" i="12"/>
  <c r="AJ727" i="12"/>
  <c r="AA727" i="12"/>
  <c r="AK727" i="12"/>
  <c r="X728" i="12" l="1"/>
  <c r="Y728" i="12"/>
  <c r="AI728" i="12"/>
  <c r="AD727" i="12"/>
  <c r="AG727" i="12" s="1"/>
  <c r="AJ728" i="12"/>
  <c r="AB728" i="12"/>
  <c r="AF728" i="12" s="1"/>
  <c r="AC728" i="12"/>
  <c r="AA728" i="12"/>
  <c r="AK728" i="12"/>
  <c r="V728" i="12"/>
  <c r="W727" i="12"/>
  <c r="T729" i="12"/>
  <c r="U728" i="12"/>
  <c r="A730" i="12"/>
  <c r="S729" i="12"/>
  <c r="B729" i="12"/>
  <c r="P730" i="12"/>
  <c r="R729" i="12"/>
  <c r="Q729" i="12"/>
  <c r="X729" i="12" l="1"/>
  <c r="Y729" i="12"/>
  <c r="AD728" i="12"/>
  <c r="AG728" i="12" s="1"/>
  <c r="A731" i="12"/>
  <c r="S730" i="12"/>
  <c r="B730" i="12"/>
  <c r="AB729" i="12"/>
  <c r="AF729" i="12" s="1"/>
  <c r="AC729" i="12"/>
  <c r="AJ729" i="12"/>
  <c r="AA729" i="12"/>
  <c r="AK729" i="12"/>
  <c r="AI729" i="12"/>
  <c r="Q730" i="12"/>
  <c r="P731" i="12"/>
  <c r="R730" i="12"/>
  <c r="T730" i="12"/>
  <c r="U729" i="12"/>
  <c r="W728" i="12"/>
  <c r="V729" i="12"/>
  <c r="AD729" i="12" l="1"/>
  <c r="AG729" i="12" s="1"/>
  <c r="X730" i="12"/>
  <c r="Y730" i="12"/>
  <c r="T731" i="12"/>
  <c r="AJ730" i="12"/>
  <c r="AA730" i="12"/>
  <c r="AK730" i="12"/>
  <c r="AC730" i="12"/>
  <c r="AB730" i="12"/>
  <c r="AF730" i="12" s="1"/>
  <c r="W729" i="12"/>
  <c r="V730" i="12"/>
  <c r="U730" i="12"/>
  <c r="R731" i="12"/>
  <c r="Q731" i="12"/>
  <c r="P732" i="12"/>
  <c r="AI730" i="12"/>
  <c r="B731" i="12"/>
  <c r="A732" i="12"/>
  <c r="S731" i="12"/>
  <c r="X731" i="12" l="1"/>
  <c r="Y731" i="12"/>
  <c r="R732" i="12"/>
  <c r="P733" i="12"/>
  <c r="Q732" i="12"/>
  <c r="AB731" i="12"/>
  <c r="AF731" i="12" s="1"/>
  <c r="AC731" i="12"/>
  <c r="AJ731" i="12"/>
  <c r="AA731" i="12"/>
  <c r="AK731" i="12"/>
  <c r="V731" i="12"/>
  <c r="W730" i="12"/>
  <c r="AD730" i="12"/>
  <c r="AG730" i="12" s="1"/>
  <c r="AI731" i="12"/>
  <c r="T732" i="12"/>
  <c r="U731" i="12"/>
  <c r="A733" i="12"/>
  <c r="S732" i="12"/>
  <c r="B732" i="12"/>
  <c r="X732" i="12" l="1"/>
  <c r="Y732" i="12"/>
  <c r="AD731" i="12"/>
  <c r="AG731" i="12" s="1"/>
  <c r="AI732" i="12"/>
  <c r="A734" i="12"/>
  <c r="S733" i="12"/>
  <c r="B733" i="12"/>
  <c r="AJ732" i="12"/>
  <c r="AC732" i="12"/>
  <c r="AA732" i="12"/>
  <c r="AK732" i="12"/>
  <c r="AB732" i="12"/>
  <c r="AF732" i="12" s="1"/>
  <c r="T733" i="12"/>
  <c r="U733" i="12" s="1"/>
  <c r="U732" i="12"/>
  <c r="V732" i="12"/>
  <c r="W731" i="12"/>
  <c r="Q733" i="12"/>
  <c r="P734" i="12"/>
  <c r="R733" i="12"/>
  <c r="X733" i="12" l="1"/>
  <c r="Y733" i="12"/>
  <c r="T734" i="12"/>
  <c r="V733" i="12"/>
  <c r="W732" i="12"/>
  <c r="AD732" i="12"/>
  <c r="AG732" i="12" s="1"/>
  <c r="B734" i="12"/>
  <c r="A735" i="12"/>
  <c r="S734" i="12"/>
  <c r="R734" i="12"/>
  <c r="Q734" i="12"/>
  <c r="P735" i="12"/>
  <c r="AI733" i="12"/>
  <c r="AB733" i="12"/>
  <c r="AF733" i="12" s="1"/>
  <c r="AC733" i="12"/>
  <c r="AJ733" i="12"/>
  <c r="AA733" i="12"/>
  <c r="AK733" i="12"/>
  <c r="AI734" i="12" l="1"/>
  <c r="X734" i="12"/>
  <c r="Y734" i="12"/>
  <c r="AD733" i="12"/>
  <c r="AG733" i="12" s="1"/>
  <c r="P736" i="12"/>
  <c r="R735" i="12"/>
  <c r="Q735" i="12"/>
  <c r="AI735" i="12" s="1"/>
  <c r="S735" i="12"/>
  <c r="B735" i="12"/>
  <c r="A736" i="12"/>
  <c r="V734" i="12"/>
  <c r="W733" i="12"/>
  <c r="AJ734" i="12"/>
  <c r="AK734" i="12"/>
  <c r="AC734" i="12"/>
  <c r="AB734" i="12"/>
  <c r="AF734" i="12" s="1"/>
  <c r="AA734" i="12"/>
  <c r="T735" i="12"/>
  <c r="U734" i="12"/>
  <c r="X735" i="12" l="1"/>
  <c r="Y735" i="12"/>
  <c r="AD734" i="12"/>
  <c r="AG734" i="12" s="1"/>
  <c r="T736" i="12"/>
  <c r="U735" i="12"/>
  <c r="A737" i="12"/>
  <c r="S736" i="12"/>
  <c r="B736" i="12"/>
  <c r="AB735" i="12"/>
  <c r="AF735" i="12" s="1"/>
  <c r="AC735" i="12"/>
  <c r="AJ735" i="12"/>
  <c r="AA735" i="12"/>
  <c r="AK735" i="12"/>
  <c r="V735" i="12"/>
  <c r="W734" i="12"/>
  <c r="P737" i="12"/>
  <c r="R736" i="12"/>
  <c r="Q736" i="12"/>
  <c r="X736" i="12" l="1"/>
  <c r="Y736" i="12"/>
  <c r="AI736" i="12"/>
  <c r="Q737" i="12"/>
  <c r="P738" i="12"/>
  <c r="R737" i="12"/>
  <c r="A738" i="12"/>
  <c r="S737" i="12"/>
  <c r="B737" i="12"/>
  <c r="T737" i="12"/>
  <c r="U737" i="12" s="1"/>
  <c r="U736" i="12"/>
  <c r="AI737" i="12"/>
  <c r="W735" i="12"/>
  <c r="V736" i="12"/>
  <c r="AD735" i="12"/>
  <c r="AG735" i="12" s="1"/>
  <c r="AJ736" i="12"/>
  <c r="AB736" i="12"/>
  <c r="AF736" i="12" s="1"/>
  <c r="AC736" i="12"/>
  <c r="AA736" i="12"/>
  <c r="AK736" i="12"/>
  <c r="X737" i="12" l="1"/>
  <c r="Y737" i="12"/>
  <c r="AD736" i="12"/>
  <c r="AG736" i="12" s="1"/>
  <c r="AB737" i="12"/>
  <c r="AF737" i="12" s="1"/>
  <c r="AC737" i="12"/>
  <c r="AJ737" i="12"/>
  <c r="AA737" i="12"/>
  <c r="AK737" i="12"/>
  <c r="W736" i="12"/>
  <c r="V737" i="12"/>
  <c r="R738" i="12"/>
  <c r="Q738" i="12"/>
  <c r="P739" i="12"/>
  <c r="T738" i="12"/>
  <c r="U738" i="12" s="1"/>
  <c r="B738" i="12"/>
  <c r="A739" i="12"/>
  <c r="S738" i="12"/>
  <c r="AI738" i="12" l="1"/>
  <c r="X738" i="12"/>
  <c r="Y738" i="12"/>
  <c r="T739" i="12"/>
  <c r="V738" i="12"/>
  <c r="W737" i="12"/>
  <c r="AJ738" i="12"/>
  <c r="AA738" i="12"/>
  <c r="AK738" i="12"/>
  <c r="AC738" i="12"/>
  <c r="AB738" i="12"/>
  <c r="AF738" i="12" s="1"/>
  <c r="S739" i="12"/>
  <c r="B739" i="12"/>
  <c r="A740" i="12"/>
  <c r="P740" i="12"/>
  <c r="R739" i="12"/>
  <c r="Q739" i="12"/>
  <c r="AD737" i="12"/>
  <c r="AG737" i="12" s="1"/>
  <c r="X739" i="12" l="1"/>
  <c r="Y739" i="12"/>
  <c r="P741" i="12"/>
  <c r="R740" i="12"/>
  <c r="Q740" i="12"/>
  <c r="V739" i="12"/>
  <c r="W738" i="12"/>
  <c r="A741" i="12"/>
  <c r="S740" i="12"/>
  <c r="B740" i="12"/>
  <c r="AI739" i="12"/>
  <c r="T740" i="12"/>
  <c r="U740" i="12" s="1"/>
  <c r="U739" i="12"/>
  <c r="AB739" i="12"/>
  <c r="AF739" i="12" s="1"/>
  <c r="AC739" i="12"/>
  <c r="AJ739" i="12"/>
  <c r="AA739" i="12"/>
  <c r="AK739" i="12"/>
  <c r="AD738" i="12"/>
  <c r="AG738" i="12" s="1"/>
  <c r="X740" i="12" l="1"/>
  <c r="Y740" i="12"/>
  <c r="AD739" i="12"/>
  <c r="AG739" i="12" s="1"/>
  <c r="T741" i="12"/>
  <c r="U741" i="12" s="1"/>
  <c r="A742" i="12"/>
  <c r="S741" i="12"/>
  <c r="B741" i="12"/>
  <c r="AJ740" i="12"/>
  <c r="AC740" i="12"/>
  <c r="AA740" i="12"/>
  <c r="AK740" i="12"/>
  <c r="AB740" i="12"/>
  <c r="AF740" i="12" s="1"/>
  <c r="Q741" i="12"/>
  <c r="P742" i="12"/>
  <c r="R741" i="12"/>
  <c r="W739" i="12"/>
  <c r="V740" i="12"/>
  <c r="AI740" i="12"/>
  <c r="X741" i="12" l="1"/>
  <c r="Y741" i="12"/>
  <c r="W740" i="12"/>
  <c r="V741" i="12"/>
  <c r="AB741" i="12"/>
  <c r="AF741" i="12" s="1"/>
  <c r="AC741" i="12"/>
  <c r="AJ741" i="12"/>
  <c r="AA741" i="12"/>
  <c r="AK741" i="12"/>
  <c r="R742" i="12"/>
  <c r="Q742" i="12"/>
  <c r="P743" i="12"/>
  <c r="AI741" i="12"/>
  <c r="AD740" i="12"/>
  <c r="AG740" i="12" s="1"/>
  <c r="B742" i="12"/>
  <c r="A743" i="12"/>
  <c r="S742" i="12"/>
  <c r="T742" i="12"/>
  <c r="X742" i="12" l="1"/>
  <c r="Y742" i="12"/>
  <c r="AD741" i="12"/>
  <c r="AG741" i="12" s="1"/>
  <c r="AI742" i="12"/>
  <c r="S743" i="12"/>
  <c r="B743" i="12"/>
  <c r="A744" i="12"/>
  <c r="G3" i="17" s="1"/>
  <c r="P744" i="12"/>
  <c r="R743" i="12"/>
  <c r="Q743" i="12"/>
  <c r="T743" i="12"/>
  <c r="U742" i="12"/>
  <c r="AJ742" i="12"/>
  <c r="AK742" i="12"/>
  <c r="AC742" i="12"/>
  <c r="AB742" i="12"/>
  <c r="AF742" i="12" s="1"/>
  <c r="AA742" i="12"/>
  <c r="V742" i="12"/>
  <c r="W741" i="12"/>
  <c r="X743" i="12" l="1"/>
  <c r="Y743" i="12"/>
  <c r="AI743" i="12"/>
  <c r="S744" i="12"/>
  <c r="B744" i="12"/>
  <c r="G63" i="17"/>
  <c r="H98" i="17"/>
  <c r="G79" i="17"/>
  <c r="G76" i="17"/>
  <c r="H58" i="17"/>
  <c r="H69" i="17"/>
  <c r="H42" i="17"/>
  <c r="H93" i="17"/>
  <c r="G95" i="17"/>
  <c r="H26" i="17"/>
  <c r="H13" i="17"/>
  <c r="G47" i="17"/>
  <c r="G44" i="17"/>
  <c r="G92" i="17"/>
  <c r="H34" i="17"/>
  <c r="G36" i="17"/>
  <c r="H45" i="17"/>
  <c r="G28" i="17"/>
  <c r="G12" i="17"/>
  <c r="G4" i="17"/>
  <c r="H5" i="17"/>
  <c r="G100" i="17"/>
  <c r="H10" i="17"/>
  <c r="H66" i="17"/>
  <c r="G71" i="17"/>
  <c r="H61" i="17"/>
  <c r="H77" i="17"/>
  <c r="H74" i="17"/>
  <c r="G17" i="17"/>
  <c r="H21" i="17"/>
  <c r="H50" i="17"/>
  <c r="G52" i="17"/>
  <c r="G87" i="17"/>
  <c r="H18" i="17"/>
  <c r="H85" i="17"/>
  <c r="G55" i="17"/>
  <c r="H82" i="17"/>
  <c r="G16" i="17"/>
  <c r="H37" i="17"/>
  <c r="H90" i="17"/>
  <c r="G60" i="17"/>
  <c r="G68" i="17"/>
  <c r="G84" i="17"/>
  <c r="H53" i="17"/>
  <c r="H29" i="17"/>
  <c r="G20" i="17"/>
  <c r="H16" i="17"/>
  <c r="G62" i="17"/>
  <c r="G54" i="17"/>
  <c r="G14" i="17"/>
  <c r="G73" i="17"/>
  <c r="H54" i="17"/>
  <c r="G89" i="17"/>
  <c r="H6" i="17"/>
  <c r="H63" i="17"/>
  <c r="H55" i="17"/>
  <c r="H70" i="17"/>
  <c r="G64" i="17"/>
  <c r="H86" i="17"/>
  <c r="H79" i="17"/>
  <c r="G41" i="17"/>
  <c r="G65" i="17"/>
  <c r="H14" i="17"/>
  <c r="H41" i="17"/>
  <c r="H100" i="17"/>
  <c r="G67" i="17"/>
  <c r="G80" i="17"/>
  <c r="H9" i="17"/>
  <c r="H60" i="17"/>
  <c r="G51" i="17"/>
  <c r="H72" i="17"/>
  <c r="H47" i="17"/>
  <c r="G9" i="17"/>
  <c r="G33" i="17"/>
  <c r="G25" i="17"/>
  <c r="G40" i="17"/>
  <c r="H33" i="17"/>
  <c r="G56" i="17"/>
  <c r="G49" i="17"/>
  <c r="H30" i="17"/>
  <c r="H22" i="17"/>
  <c r="H81" i="17"/>
  <c r="H68" i="17"/>
  <c r="H65" i="17"/>
  <c r="H78" i="17"/>
  <c r="G8" i="17"/>
  <c r="G32" i="17"/>
  <c r="G91" i="17"/>
  <c r="H52" i="17"/>
  <c r="H12" i="17"/>
  <c r="H71" i="17"/>
  <c r="G59" i="17"/>
  <c r="G46" i="17"/>
  <c r="G42" i="17"/>
  <c r="H46" i="17"/>
  <c r="H73" i="17"/>
  <c r="H97" i="17"/>
  <c r="H89" i="17"/>
  <c r="H76" i="17"/>
  <c r="G38" i="17"/>
  <c r="H92" i="17"/>
  <c r="G48" i="17"/>
  <c r="G75" i="17"/>
  <c r="G99" i="17"/>
  <c r="H20" i="17"/>
  <c r="G83" i="17"/>
  <c r="G70" i="17"/>
  <c r="H57" i="17"/>
  <c r="H49" i="17"/>
  <c r="H36" i="17"/>
  <c r="G30" i="17"/>
  <c r="H31" i="17"/>
  <c r="H23" i="17"/>
  <c r="H38" i="17"/>
  <c r="H95" i="17"/>
  <c r="G57" i="17"/>
  <c r="G72" i="17"/>
  <c r="H83" i="17"/>
  <c r="H25" i="17"/>
  <c r="H17" i="17"/>
  <c r="H4" i="17"/>
  <c r="H28" i="17"/>
  <c r="H87" i="17"/>
  <c r="G78" i="17"/>
  <c r="H39" i="17"/>
  <c r="H84" i="17"/>
  <c r="H44" i="17"/>
  <c r="G6" i="17"/>
  <c r="G97" i="17"/>
  <c r="G22" i="17"/>
  <c r="G35" i="17"/>
  <c r="G94" i="17"/>
  <c r="G86" i="17"/>
  <c r="H15" i="17"/>
  <c r="H94" i="17"/>
  <c r="G96" i="17"/>
  <c r="G88" i="17"/>
  <c r="G81" i="17"/>
  <c r="H62" i="17"/>
  <c r="G24" i="17"/>
  <c r="H7" i="17"/>
  <c r="H11" i="17"/>
  <c r="G77" i="17"/>
  <c r="G45" i="17"/>
  <c r="H43" i="17"/>
  <c r="G66" i="17"/>
  <c r="G15" i="17"/>
  <c r="H80" i="17"/>
  <c r="G82" i="17"/>
  <c r="G50" i="17"/>
  <c r="G7" i="17"/>
  <c r="H51" i="17"/>
  <c r="H19" i="17"/>
  <c r="G18" i="17"/>
  <c r="H67" i="17"/>
  <c r="H64" i="17"/>
  <c r="H32" i="17"/>
  <c r="G98" i="17"/>
  <c r="H96" i="17"/>
  <c r="H56" i="17"/>
  <c r="G27" i="17"/>
  <c r="G39" i="17"/>
  <c r="H40" i="17"/>
  <c r="H8" i="17"/>
  <c r="H35" i="17"/>
  <c r="G10" i="17"/>
  <c r="H75" i="17"/>
  <c r="G74" i="17"/>
  <c r="G11" i="17"/>
  <c r="G23" i="17"/>
  <c r="G58" i="17"/>
  <c r="G43" i="17"/>
  <c r="G34" i="17"/>
  <c r="H99" i="17"/>
  <c r="H3" i="17"/>
  <c r="G69" i="17"/>
  <c r="G37" i="17"/>
  <c r="G26" i="17"/>
  <c r="G19" i="17"/>
  <c r="G31" i="17"/>
  <c r="G5" i="17"/>
  <c r="G53" i="17"/>
  <c r="G21" i="17"/>
  <c r="H27" i="17"/>
  <c r="G85" i="17"/>
  <c r="G13" i="17"/>
  <c r="H24" i="17"/>
  <c r="G90" i="17"/>
  <c r="H91" i="17"/>
  <c r="H59" i="17"/>
  <c r="H48" i="17"/>
  <c r="G61" i="17"/>
  <c r="G29" i="17"/>
  <c r="H88" i="17"/>
  <c r="G93" i="17"/>
  <c r="AB743" i="12"/>
  <c r="AF743" i="12" s="1"/>
  <c r="AC743" i="12"/>
  <c r="AJ743" i="12"/>
  <c r="AA743" i="12"/>
  <c r="AK743" i="12"/>
  <c r="R744" i="12"/>
  <c r="Q744" i="12"/>
  <c r="V743" i="12"/>
  <c r="W742" i="12"/>
  <c r="AD742" i="12"/>
  <c r="AG742" i="12" s="1"/>
  <c r="T744" i="12"/>
  <c r="U744" i="12" s="1"/>
  <c r="U743" i="12"/>
  <c r="X744" i="12" l="1"/>
  <c r="Y744" i="12"/>
  <c r="Z22" i="12"/>
  <c r="Z5" i="12"/>
  <c r="Z4" i="12"/>
  <c r="AI744" i="12"/>
  <c r="AD743" i="12"/>
  <c r="AG743" i="12" s="1"/>
  <c r="Z744" i="12"/>
  <c r="W743" i="12"/>
  <c r="V744" i="12"/>
  <c r="W744" i="12" s="1"/>
  <c r="AB744" i="12"/>
  <c r="AF744" i="12" s="1"/>
  <c r="AJ744" i="12"/>
  <c r="AC744" i="12"/>
  <c r="AK744" i="12"/>
  <c r="AA744" i="12"/>
  <c r="Z3" i="12"/>
  <c r="Z6" i="12"/>
  <c r="Z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38" i="12"/>
  <c r="Z39" i="12"/>
  <c r="Z40" i="12"/>
  <c r="Z41" i="12"/>
  <c r="Z42" i="12"/>
  <c r="Z43" i="12"/>
  <c r="Z44" i="12"/>
  <c r="Z45" i="12"/>
  <c r="Z46" i="12"/>
  <c r="Z47" i="12"/>
  <c r="Z48" i="12"/>
  <c r="Z49" i="12"/>
  <c r="Z50" i="12"/>
  <c r="Z51" i="12"/>
  <c r="Z52" i="12"/>
  <c r="Z53" i="12"/>
  <c r="Z54" i="12"/>
  <c r="Z55" i="12"/>
  <c r="Z56" i="12"/>
  <c r="Z57" i="12"/>
  <c r="Z58" i="12"/>
  <c r="Z59" i="12"/>
  <c r="Z60" i="12"/>
  <c r="Z61" i="12"/>
  <c r="Z62" i="12"/>
  <c r="Z63" i="12"/>
  <c r="Z64" i="12"/>
  <c r="Z65" i="12"/>
  <c r="Z66" i="12"/>
  <c r="Z67" i="12"/>
  <c r="Z68" i="12"/>
  <c r="Z69" i="12"/>
  <c r="Z70" i="12"/>
  <c r="Z71" i="12"/>
  <c r="Z72" i="12"/>
  <c r="Z73" i="12"/>
  <c r="Z74" i="12"/>
  <c r="Z75" i="12"/>
  <c r="Z76" i="12"/>
  <c r="Z77" i="12"/>
  <c r="Z78" i="12"/>
  <c r="Z79" i="12"/>
  <c r="Z80" i="12"/>
  <c r="Z81" i="12"/>
  <c r="Z82" i="12"/>
  <c r="Z83" i="12"/>
  <c r="Z84" i="12"/>
  <c r="Z85" i="12"/>
  <c r="Z86" i="12"/>
  <c r="Z87" i="12"/>
  <c r="Z88" i="12"/>
  <c r="Z89" i="12"/>
  <c r="Z90" i="12"/>
  <c r="Z91" i="12"/>
  <c r="Z92" i="12"/>
  <c r="Z93" i="12"/>
  <c r="Z94" i="12"/>
  <c r="Z95" i="12"/>
  <c r="Z96" i="12"/>
  <c r="Z97" i="12"/>
  <c r="Z98" i="12"/>
  <c r="Z99" i="12"/>
  <c r="Z100" i="12"/>
  <c r="Z101" i="12"/>
  <c r="Z102" i="12"/>
  <c r="Z103" i="12"/>
  <c r="Z104" i="12"/>
  <c r="Z105" i="12"/>
  <c r="Z106" i="12"/>
  <c r="Z107" i="12"/>
  <c r="Z108" i="12"/>
  <c r="Z109" i="12"/>
  <c r="Z110" i="12"/>
  <c r="Z111" i="12"/>
  <c r="Z112" i="12"/>
  <c r="Z113" i="12"/>
  <c r="Z114" i="12"/>
  <c r="Z115" i="12"/>
  <c r="Z116" i="12"/>
  <c r="Z117" i="12"/>
  <c r="Z118" i="12"/>
  <c r="Z119" i="12"/>
  <c r="Z120" i="12"/>
  <c r="Z121" i="12"/>
  <c r="Z122" i="12"/>
  <c r="Z123" i="12"/>
  <c r="Z124" i="12"/>
  <c r="Z125" i="12"/>
  <c r="Z126" i="12"/>
  <c r="Z127" i="12"/>
  <c r="Z128" i="12"/>
  <c r="Z129" i="12"/>
  <c r="Z130" i="12"/>
  <c r="Z131" i="12"/>
  <c r="Z132" i="12"/>
  <c r="Z133" i="12"/>
  <c r="Z134" i="12"/>
  <c r="Z135" i="12"/>
  <c r="Z136" i="12"/>
  <c r="Z137" i="12"/>
  <c r="Z138" i="12"/>
  <c r="Z139" i="12"/>
  <c r="Z140" i="12"/>
  <c r="Z141" i="12"/>
  <c r="Z142" i="12"/>
  <c r="Z143" i="12"/>
  <c r="Z144" i="12"/>
  <c r="Z145" i="12"/>
  <c r="Z146" i="12"/>
  <c r="Z147" i="12"/>
  <c r="Z148" i="12"/>
  <c r="Z149" i="12"/>
  <c r="Z150" i="12"/>
  <c r="Z151" i="12"/>
  <c r="Z152" i="12"/>
  <c r="Z153" i="12"/>
  <c r="Z154" i="12"/>
  <c r="Z155" i="12"/>
  <c r="Z156" i="12"/>
  <c r="Z157" i="12"/>
  <c r="Z158" i="12"/>
  <c r="Z159" i="12"/>
  <c r="Z160" i="12"/>
  <c r="Z161" i="12"/>
  <c r="Z162" i="12"/>
  <c r="Z163" i="12"/>
  <c r="Z164" i="12"/>
  <c r="Z165" i="12"/>
  <c r="Z166" i="12"/>
  <c r="Z167" i="12"/>
  <c r="Z168" i="12"/>
  <c r="Z169" i="12"/>
  <c r="Z170" i="12"/>
  <c r="Z171" i="12"/>
  <c r="Z172" i="12"/>
  <c r="Z173" i="12"/>
  <c r="Z174" i="12"/>
  <c r="Z175" i="12"/>
  <c r="Z176" i="12"/>
  <c r="Z177" i="12"/>
  <c r="Z178" i="12"/>
  <c r="Z179" i="12"/>
  <c r="Z180" i="12"/>
  <c r="Z181" i="12"/>
  <c r="Z182" i="12"/>
  <c r="Z183" i="12"/>
  <c r="Z184" i="12"/>
  <c r="Z185" i="12"/>
  <c r="Z186" i="12"/>
  <c r="Z187" i="12"/>
  <c r="Z188" i="12"/>
  <c r="Z189" i="12"/>
  <c r="Z190" i="12"/>
  <c r="Z191" i="12"/>
  <c r="Z192" i="12"/>
  <c r="Z193" i="12"/>
  <c r="Z194" i="12"/>
  <c r="Z195" i="12"/>
  <c r="Z196" i="12"/>
  <c r="Z197" i="12"/>
  <c r="Z198" i="12"/>
  <c r="Z199" i="12"/>
  <c r="Z200" i="12"/>
  <c r="Z201" i="12"/>
  <c r="Z202" i="12"/>
  <c r="Z203" i="12"/>
  <c r="Z204" i="12"/>
  <c r="Z205" i="12"/>
  <c r="Z206" i="12"/>
  <c r="Z207" i="12"/>
  <c r="Z208" i="12"/>
  <c r="Z209" i="12"/>
  <c r="Z210" i="12"/>
  <c r="Z211" i="12"/>
  <c r="Z212" i="12"/>
  <c r="Z213" i="12"/>
  <c r="Z214" i="12"/>
  <c r="Z215" i="12"/>
  <c r="Z216" i="12"/>
  <c r="Z217" i="12"/>
  <c r="Z218" i="12"/>
  <c r="Z219" i="12"/>
  <c r="Z220" i="12"/>
  <c r="Z221" i="12"/>
  <c r="Z222" i="12"/>
  <c r="Z223" i="12"/>
  <c r="Z224" i="12"/>
  <c r="Z225" i="12"/>
  <c r="Z226" i="12"/>
  <c r="Z227" i="12"/>
  <c r="Z228" i="12"/>
  <c r="Z229" i="12"/>
  <c r="Z230" i="12"/>
  <c r="Z231" i="12"/>
  <c r="Z232" i="12"/>
  <c r="Z233" i="12"/>
  <c r="Z234" i="12"/>
  <c r="Z235" i="12"/>
  <c r="Z236" i="12"/>
  <c r="Z237" i="12"/>
  <c r="Z238" i="12"/>
  <c r="Z239" i="12"/>
  <c r="Z240" i="12"/>
  <c r="Z241" i="12"/>
  <c r="Z242" i="12"/>
  <c r="Z243" i="12"/>
  <c r="Z244" i="12"/>
  <c r="Z245" i="12"/>
  <c r="Z246" i="12"/>
  <c r="Z247" i="12"/>
  <c r="Z248" i="12"/>
  <c r="Z249" i="12"/>
  <c r="Z250" i="12"/>
  <c r="Z251" i="12"/>
  <c r="Z252" i="12"/>
  <c r="Z253" i="12"/>
  <c r="Z254" i="12"/>
  <c r="Z255" i="12"/>
  <c r="Z256" i="12"/>
  <c r="Z257" i="12"/>
  <c r="Z258" i="12"/>
  <c r="Z259" i="12"/>
  <c r="Z260" i="12"/>
  <c r="Z261" i="12"/>
  <c r="Z262" i="12"/>
  <c r="Z263" i="12"/>
  <c r="Z264" i="12"/>
  <c r="Z265" i="12"/>
  <c r="Z266" i="12"/>
  <c r="Z267" i="12"/>
  <c r="Z268" i="12"/>
  <c r="Z269" i="12"/>
  <c r="Z270" i="12"/>
  <c r="Z271" i="12"/>
  <c r="Z272" i="12"/>
  <c r="Z273" i="12"/>
  <c r="Z274" i="12"/>
  <c r="Z275" i="12"/>
  <c r="Z276" i="12"/>
  <c r="Z277" i="12"/>
  <c r="Z278" i="12"/>
  <c r="Z279" i="12"/>
  <c r="Z280" i="12"/>
  <c r="Z281" i="12"/>
  <c r="Z282" i="12"/>
  <c r="Z283" i="12"/>
  <c r="Z284" i="12"/>
  <c r="Z285" i="12"/>
  <c r="Z286" i="12"/>
  <c r="Z287" i="12"/>
  <c r="Z288" i="12"/>
  <c r="Z289" i="12"/>
  <c r="Z290" i="12"/>
  <c r="Z291" i="12"/>
  <c r="Z292" i="12"/>
  <c r="Z293" i="12"/>
  <c r="Z294" i="12"/>
  <c r="Z295" i="12"/>
  <c r="Z296" i="12"/>
  <c r="Z297" i="12"/>
  <c r="Z298" i="12"/>
  <c r="Z299" i="12"/>
  <c r="Z300" i="12"/>
  <c r="Z301" i="12"/>
  <c r="Z302" i="12"/>
  <c r="Z303" i="12"/>
  <c r="Z304" i="12"/>
  <c r="Z305" i="12"/>
  <c r="Z306" i="12"/>
  <c r="Z307" i="12"/>
  <c r="Z308" i="12"/>
  <c r="Z309" i="12"/>
  <c r="Z310" i="12"/>
  <c r="Z311" i="12"/>
  <c r="Z312" i="12"/>
  <c r="Z313" i="12"/>
  <c r="Z314" i="12"/>
  <c r="Z315" i="12"/>
  <c r="Z316" i="12"/>
  <c r="Z317" i="12"/>
  <c r="Z318" i="12"/>
  <c r="Z319" i="12"/>
  <c r="Z320" i="12"/>
  <c r="Z321" i="12"/>
  <c r="Z322" i="12"/>
  <c r="Z323" i="12"/>
  <c r="Z324" i="12"/>
  <c r="Z325" i="12"/>
  <c r="Z326" i="12"/>
  <c r="Z327" i="12"/>
  <c r="Z328" i="12"/>
  <c r="Z329" i="12"/>
  <c r="Z330" i="12"/>
  <c r="Z331" i="12"/>
  <c r="Z332" i="12"/>
  <c r="Z333" i="12"/>
  <c r="Z334" i="12"/>
  <c r="Z335" i="12"/>
  <c r="Z336" i="12"/>
  <c r="Z337" i="12"/>
  <c r="Z338" i="12"/>
  <c r="Z339" i="12"/>
  <c r="Z340" i="12"/>
  <c r="Z341" i="12"/>
  <c r="Z342" i="12"/>
  <c r="Z343" i="12"/>
  <c r="Z344" i="12"/>
  <c r="Z345" i="12"/>
  <c r="Z346" i="12"/>
  <c r="Z347" i="12"/>
  <c r="Z348" i="12"/>
  <c r="Z349" i="12"/>
  <c r="Z350" i="12"/>
  <c r="Z351" i="12"/>
  <c r="Z352" i="12"/>
  <c r="Z353" i="12"/>
  <c r="Z354" i="12"/>
  <c r="Z355" i="12"/>
  <c r="Z356" i="12"/>
  <c r="Z357" i="12"/>
  <c r="Z358" i="12"/>
  <c r="Z359" i="12"/>
  <c r="Z360" i="12"/>
  <c r="Z361" i="12"/>
  <c r="Z362" i="12"/>
  <c r="Z363" i="12"/>
  <c r="Z364" i="12"/>
  <c r="Z365" i="12"/>
  <c r="Z366" i="12"/>
  <c r="Z367" i="12"/>
  <c r="Z368" i="12"/>
  <c r="Z369" i="12"/>
  <c r="Z370" i="12"/>
  <c r="Z371" i="12"/>
  <c r="Z372" i="12"/>
  <c r="Z373" i="12"/>
  <c r="Z374" i="12"/>
  <c r="Z375" i="12"/>
  <c r="Z376" i="12"/>
  <c r="Z377" i="12"/>
  <c r="Z378" i="12"/>
  <c r="Z379" i="12"/>
  <c r="Z380" i="12"/>
  <c r="Z381" i="12"/>
  <c r="Z382" i="12"/>
  <c r="Z383" i="12"/>
  <c r="Z384" i="12"/>
  <c r="Z385" i="12"/>
  <c r="Z386" i="12"/>
  <c r="Z387" i="12"/>
  <c r="Z388" i="12"/>
  <c r="Z389" i="12"/>
  <c r="Z390" i="12"/>
  <c r="Z391" i="12"/>
  <c r="Z392" i="12"/>
  <c r="Z393" i="12"/>
  <c r="Z394" i="12"/>
  <c r="Z395" i="12"/>
  <c r="Z396" i="12"/>
  <c r="Z397" i="12"/>
  <c r="Z398" i="12"/>
  <c r="Z399" i="12"/>
  <c r="Z400" i="12"/>
  <c r="Z401" i="12"/>
  <c r="Z402" i="12"/>
  <c r="Z403" i="12"/>
  <c r="Z404" i="12"/>
  <c r="Z405" i="12"/>
  <c r="Z406" i="12"/>
  <c r="Z407" i="12"/>
  <c r="Z408" i="12"/>
  <c r="Z409" i="12"/>
  <c r="Z410" i="12"/>
  <c r="Z411" i="12"/>
  <c r="Z412" i="12"/>
  <c r="Z413" i="12"/>
  <c r="Z414" i="12"/>
  <c r="Z415" i="12"/>
  <c r="Z416" i="12"/>
  <c r="Z417" i="12"/>
  <c r="Z418" i="12"/>
  <c r="Z419" i="12"/>
  <c r="Z420" i="12"/>
  <c r="Z421" i="12"/>
  <c r="Z422" i="12"/>
  <c r="Z423" i="12"/>
  <c r="Z424" i="12"/>
  <c r="Z425" i="12"/>
  <c r="Z426" i="12"/>
  <c r="Z427" i="12"/>
  <c r="Z428" i="12"/>
  <c r="Z429" i="12"/>
  <c r="Z430" i="12"/>
  <c r="Z431" i="12"/>
  <c r="Z432" i="12"/>
  <c r="Z433" i="12"/>
  <c r="Z434" i="12"/>
  <c r="Z435" i="12"/>
  <c r="Z436" i="12"/>
  <c r="Z437" i="12"/>
  <c r="Z438" i="12"/>
  <c r="Z439" i="12"/>
  <c r="Z440" i="12"/>
  <c r="Z441" i="12"/>
  <c r="Z442" i="12"/>
  <c r="Z443" i="12"/>
  <c r="Z444" i="12"/>
  <c r="Z445" i="12"/>
  <c r="Z446" i="12"/>
  <c r="Z447" i="12"/>
  <c r="Z448" i="12"/>
  <c r="Z449" i="12"/>
  <c r="Z450" i="12"/>
  <c r="Z451" i="12"/>
  <c r="Z452" i="12"/>
  <c r="Z453" i="12"/>
  <c r="Z454" i="12"/>
  <c r="Z455" i="12"/>
  <c r="Z456" i="12"/>
  <c r="Z457" i="12"/>
  <c r="Z458" i="12"/>
  <c r="Z459" i="12"/>
  <c r="Z460" i="12"/>
  <c r="Z461" i="12"/>
  <c r="Z462" i="12"/>
  <c r="Z463" i="12"/>
  <c r="Z464" i="12"/>
  <c r="Z465" i="12"/>
  <c r="Z466" i="12"/>
  <c r="Z467" i="12"/>
  <c r="Z468" i="12"/>
  <c r="Z469" i="12"/>
  <c r="Z470" i="12"/>
  <c r="Z471" i="12"/>
  <c r="Z472" i="12"/>
  <c r="Z473" i="12"/>
  <c r="Z474" i="12"/>
  <c r="Z475" i="12"/>
  <c r="Z476" i="12"/>
  <c r="Z477" i="12"/>
  <c r="Z478" i="12"/>
  <c r="Z479" i="12"/>
  <c r="Z480" i="12"/>
  <c r="Z481" i="12"/>
  <c r="Z482" i="12"/>
  <c r="Z483" i="12"/>
  <c r="Z484" i="12"/>
  <c r="Z485" i="12"/>
  <c r="Z486" i="12"/>
  <c r="Z487" i="12"/>
  <c r="Z488" i="12"/>
  <c r="Z489" i="12"/>
  <c r="Z490" i="12"/>
  <c r="Z491" i="12"/>
  <c r="Z492" i="12"/>
  <c r="Z493" i="12"/>
  <c r="Z494" i="12"/>
  <c r="Z495" i="12"/>
  <c r="Z496" i="12"/>
  <c r="Z497" i="12"/>
  <c r="Z498" i="12"/>
  <c r="Z499" i="12"/>
  <c r="Z500" i="12"/>
  <c r="Z501" i="12"/>
  <c r="Z502" i="12"/>
  <c r="Z503" i="12"/>
  <c r="Z504" i="12"/>
  <c r="Z505" i="12"/>
  <c r="Z506" i="12"/>
  <c r="Z507" i="12"/>
  <c r="Z508" i="12"/>
  <c r="Z509" i="12"/>
  <c r="Z510" i="12"/>
  <c r="Z511" i="12"/>
  <c r="Z512" i="12"/>
  <c r="Z513" i="12"/>
  <c r="Z514" i="12"/>
  <c r="Z515" i="12"/>
  <c r="Z516" i="12"/>
  <c r="Z517" i="12"/>
  <c r="Z518" i="12"/>
  <c r="Z519" i="12"/>
  <c r="Z520" i="12"/>
  <c r="Z521" i="12"/>
  <c r="Z522" i="12"/>
  <c r="Z523" i="12"/>
  <c r="Z524" i="12"/>
  <c r="Z525" i="12"/>
  <c r="Z526" i="12"/>
  <c r="Z527" i="12"/>
  <c r="Z528" i="12"/>
  <c r="Z529" i="12"/>
  <c r="Z530" i="12"/>
  <c r="Z531" i="12"/>
  <c r="Z532" i="12"/>
  <c r="Z533" i="12"/>
  <c r="Z534" i="12"/>
  <c r="Z535" i="12"/>
  <c r="Z536" i="12"/>
  <c r="Z537" i="12"/>
  <c r="Z538" i="12"/>
  <c r="Z539" i="12"/>
  <c r="Z540" i="12"/>
  <c r="Z541" i="12"/>
  <c r="Z542" i="12"/>
  <c r="Z543" i="12"/>
  <c r="Z544" i="12"/>
  <c r="Z545" i="12"/>
  <c r="Z546" i="12"/>
  <c r="Z547" i="12"/>
  <c r="Z548" i="12"/>
  <c r="Z549" i="12"/>
  <c r="Z550" i="12"/>
  <c r="Z551" i="12"/>
  <c r="Z552" i="12"/>
  <c r="Z553" i="12"/>
  <c r="Z554" i="12"/>
  <c r="Z555" i="12"/>
  <c r="Z556" i="12"/>
  <c r="Z557" i="12"/>
  <c r="Z558" i="12"/>
  <c r="Z559" i="12"/>
  <c r="Z560" i="12"/>
  <c r="Z561" i="12"/>
  <c r="Z562" i="12"/>
  <c r="Z563" i="12"/>
  <c r="Z564" i="12"/>
  <c r="Z565" i="12"/>
  <c r="Z566" i="12"/>
  <c r="Z567" i="12"/>
  <c r="Z568" i="12"/>
  <c r="Z569" i="12"/>
  <c r="Z570" i="12"/>
  <c r="Z571" i="12"/>
  <c r="Z572" i="12"/>
  <c r="Z573" i="12"/>
  <c r="Z574" i="12"/>
  <c r="Z575" i="12"/>
  <c r="Z576" i="12"/>
  <c r="Z577" i="12"/>
  <c r="Z578" i="12"/>
  <c r="Z579" i="12"/>
  <c r="Z580" i="12"/>
  <c r="Z581" i="12"/>
  <c r="Z582" i="12"/>
  <c r="Z583" i="12"/>
  <c r="Z584" i="12"/>
  <c r="Z585" i="12"/>
  <c r="Z586" i="12"/>
  <c r="Z587" i="12"/>
  <c r="Z588" i="12"/>
  <c r="Z589" i="12"/>
  <c r="Z590" i="12"/>
  <c r="Z591" i="12"/>
  <c r="Z592" i="12"/>
  <c r="Z593" i="12"/>
  <c r="Z594" i="12"/>
  <c r="Z595" i="12"/>
  <c r="Z596" i="12"/>
  <c r="Z597" i="12"/>
  <c r="Z598" i="12"/>
  <c r="Z599" i="12"/>
  <c r="Z600" i="12"/>
  <c r="Z601" i="12"/>
  <c r="Z602" i="12"/>
  <c r="Z603" i="12"/>
  <c r="Z604" i="12"/>
  <c r="Z605" i="12"/>
  <c r="Z606" i="12"/>
  <c r="Z607" i="12"/>
  <c r="Z608" i="12"/>
  <c r="Z609" i="12"/>
  <c r="Z610" i="12"/>
  <c r="Z611" i="12"/>
  <c r="Z612" i="12"/>
  <c r="Z613" i="12"/>
  <c r="Z614" i="12"/>
  <c r="Z615" i="12"/>
  <c r="Z616" i="12"/>
  <c r="Z617" i="12"/>
  <c r="Z618" i="12"/>
  <c r="Z619" i="12"/>
  <c r="Z620" i="12"/>
  <c r="Z621" i="12"/>
  <c r="Z622" i="12"/>
  <c r="Z623" i="12"/>
  <c r="Z624" i="12"/>
  <c r="Z625" i="12"/>
  <c r="Z626" i="12"/>
  <c r="Z627" i="12"/>
  <c r="Z628" i="12"/>
  <c r="Z629" i="12"/>
  <c r="Z630" i="12"/>
  <c r="Z631" i="12"/>
  <c r="Z632" i="12"/>
  <c r="Z633" i="12"/>
  <c r="Z634" i="12"/>
  <c r="Z635" i="12"/>
  <c r="Z636" i="12"/>
  <c r="Z637" i="12"/>
  <c r="Z638" i="12"/>
  <c r="Z639" i="12"/>
  <c r="Z640" i="12"/>
  <c r="Z641" i="12"/>
  <c r="Z642" i="12"/>
  <c r="Z643" i="12"/>
  <c r="Z644" i="12"/>
  <c r="Z645" i="12"/>
  <c r="Z646" i="12"/>
  <c r="Z647" i="12"/>
  <c r="Z648" i="12"/>
  <c r="Z649" i="12"/>
  <c r="Z650" i="12"/>
  <c r="Z651" i="12"/>
  <c r="Z652" i="12"/>
  <c r="Z653" i="12"/>
  <c r="Z654" i="12"/>
  <c r="Z655" i="12"/>
  <c r="Z656" i="12"/>
  <c r="Z657" i="12"/>
  <c r="Z658" i="12"/>
  <c r="Z659" i="12"/>
  <c r="Z660" i="12"/>
  <c r="Z661" i="12"/>
  <c r="Z662" i="12"/>
  <c r="Z663" i="12"/>
  <c r="Z664" i="12"/>
  <c r="Z665" i="12"/>
  <c r="Z666" i="12"/>
  <c r="Z667" i="12"/>
  <c r="Z668" i="12"/>
  <c r="Z669" i="12"/>
  <c r="Z670" i="12"/>
  <c r="Z671" i="12"/>
  <c r="Z672" i="12"/>
  <c r="Z673" i="12"/>
  <c r="Z674" i="12"/>
  <c r="Z675" i="12"/>
  <c r="Z676" i="12"/>
  <c r="Z677" i="12"/>
  <c r="Z678" i="12"/>
  <c r="Z679" i="12"/>
  <c r="Z680" i="12"/>
  <c r="Z681" i="12"/>
  <c r="Z682" i="12"/>
  <c r="Z683" i="12"/>
  <c r="Z684" i="12"/>
  <c r="Z685" i="12"/>
  <c r="Z686" i="12"/>
  <c r="Z687" i="12"/>
  <c r="Z688" i="12"/>
  <c r="Z689" i="12"/>
  <c r="Z690" i="12"/>
  <c r="Z691" i="12"/>
  <c r="Z692" i="12"/>
  <c r="Z693" i="12"/>
  <c r="Z694" i="12"/>
  <c r="Z695" i="12"/>
  <c r="Z696" i="12"/>
  <c r="Z697" i="12"/>
  <c r="Z698" i="12"/>
  <c r="Z699" i="12"/>
  <c r="Z700" i="12"/>
  <c r="Z701" i="12"/>
  <c r="Z702" i="12"/>
  <c r="Z703" i="12"/>
  <c r="Z704" i="12"/>
  <c r="Z705" i="12"/>
  <c r="Z706" i="12"/>
  <c r="Z707" i="12"/>
  <c r="Z708" i="12"/>
  <c r="Z709" i="12"/>
  <c r="Z710" i="12"/>
  <c r="Z711" i="12"/>
  <c r="Z712" i="12"/>
  <c r="Z713" i="12"/>
  <c r="Z714" i="12"/>
  <c r="Z715" i="12"/>
  <c r="Z716" i="12"/>
  <c r="Z717" i="12"/>
  <c r="Z718" i="12"/>
  <c r="Z719" i="12"/>
  <c r="Z720" i="12"/>
  <c r="Z721" i="12"/>
  <c r="Z722" i="12"/>
  <c r="Z723" i="12"/>
  <c r="Z724" i="12"/>
  <c r="Z725" i="12"/>
  <c r="Z726" i="12"/>
  <c r="Z727" i="12"/>
  <c r="Z728" i="12"/>
  <c r="Z729" i="12"/>
  <c r="Z730" i="12"/>
  <c r="Z731" i="12"/>
  <c r="Z732" i="12"/>
  <c r="Z733" i="12"/>
  <c r="Z734" i="12"/>
  <c r="Z735" i="12"/>
  <c r="Z736" i="12"/>
  <c r="Z737" i="12"/>
  <c r="Z738" i="12"/>
  <c r="Z739" i="12"/>
  <c r="Z740" i="12"/>
  <c r="Z741" i="12"/>
  <c r="Z742" i="12"/>
  <c r="Z743" i="12"/>
  <c r="AD744" i="12" l="1"/>
  <c r="AG744" i="12" s="1"/>
</calcChain>
</file>

<file path=xl/sharedStrings.xml><?xml version="1.0" encoding="utf-8"?>
<sst xmlns="http://schemas.openxmlformats.org/spreadsheetml/2006/main" count="252" uniqueCount="206">
  <si>
    <t>Kasvatus</t>
  </si>
  <si>
    <t>LOHMANN LSL Classic kanat</t>
  </si>
  <si>
    <t>vaihtoehtoinen</t>
  </si>
  <si>
    <t>pvm</t>
  </si>
  <si>
    <t>ikä viikkoina</t>
  </si>
  <si>
    <t>rehun kulutus (kg/vk)</t>
  </si>
  <si>
    <t>rehun kulutus (g/kana/pv)</t>
  </si>
  <si>
    <t>veden kulutus (l/vk)</t>
  </si>
  <si>
    <t>tasaisuus (%)</t>
  </si>
  <si>
    <t>rokotukset</t>
  </si>
  <si>
    <t>huomioita</t>
  </si>
  <si>
    <t xml:space="preserve">tot. untuvikko määrä </t>
  </si>
  <si>
    <t>tot. kanan paino (g)</t>
  </si>
  <si>
    <t>tot. rehun kulutus (g/kana/pv)</t>
  </si>
  <si>
    <t>tot. veden kulutus ml/kana/pv</t>
  </si>
  <si>
    <t>vesi / rehu</t>
  </si>
  <si>
    <t>poistuma viikossa</t>
  </si>
  <si>
    <t>munan paino (g)</t>
  </si>
  <si>
    <t>veden kulutus (ml/kana/pv)</t>
  </si>
  <si>
    <t>Tuotanto</t>
  </si>
  <si>
    <t>Ikä päivinä</t>
  </si>
  <si>
    <t>Kumulat. tuot.</t>
  </si>
  <si>
    <t>ikä</t>
  </si>
  <si>
    <t>tot. kana määrä</t>
  </si>
  <si>
    <t>elävyys (%)</t>
  </si>
  <si>
    <t>% 1. luokka</t>
  </si>
  <si>
    <t>kumulat.</t>
  </si>
  <si>
    <t>päivän munamassa</t>
  </si>
  <si>
    <t>Tuotanto yli 90%</t>
  </si>
  <si>
    <t>STD Tuotanto yli 90%</t>
  </si>
  <si>
    <t>STD munamäärä</t>
  </si>
  <si>
    <t>STD elävyys</t>
  </si>
  <si>
    <t>STD munamassa</t>
  </si>
  <si>
    <t>STD munanpaino kum.</t>
  </si>
  <si>
    <t>Munia vko/al.kana</t>
  </si>
  <si>
    <t>STD munia vko/al.kana</t>
  </si>
  <si>
    <t>Viikkotuotanto</t>
  </si>
  <si>
    <t>STD MIN paino</t>
  </si>
  <si>
    <t>STD MAX paino</t>
  </si>
  <si>
    <t>rehun ja veden kulutus</t>
  </si>
  <si>
    <t>rehuhyötysuhde</t>
  </si>
  <si>
    <t>kanan paino</t>
  </si>
  <si>
    <t>tot. kanojen lkm</t>
  </si>
  <si>
    <t>kg per vk</t>
  </si>
  <si>
    <t>per päivä (g/kana)</t>
  </si>
  <si>
    <t>kumulat. kulutus</t>
  </si>
  <si>
    <t>per vk</t>
  </si>
  <si>
    <t>tot. (g/10)</t>
  </si>
  <si>
    <t>STD MIN/10</t>
  </si>
  <si>
    <t>STD MAX/10</t>
  </si>
  <si>
    <t>Ero</t>
  </si>
  <si>
    <t>Rehuhyötysuhde</t>
  </si>
  <si>
    <t>Rehuhyötysuhde kum.</t>
  </si>
  <si>
    <t>Muninta ero</t>
  </si>
  <si>
    <t>Muninta alaraja</t>
  </si>
  <si>
    <t>kuolleisuus (%)</t>
  </si>
  <si>
    <t>STD kanan paino (g)</t>
  </si>
  <si>
    <t>STD rehun kulutus (g/kana/pv)</t>
  </si>
  <si>
    <t>Parven tiedot</t>
  </si>
  <si>
    <t>STD</t>
  </si>
  <si>
    <t>STD kumulat.</t>
  </si>
  <si>
    <t>Per elävä kana</t>
  </si>
  <si>
    <t>Per aloittanut kana</t>
  </si>
  <si>
    <t>% tuot.</t>
  </si>
  <si>
    <t>munien lkm</t>
  </si>
  <si>
    <t>Kumulat.tuot.</t>
  </si>
  <si>
    <t>Munapaino</t>
  </si>
  <si>
    <t>STD munapaino</t>
  </si>
  <si>
    <t>Munamassa</t>
  </si>
  <si>
    <t>kumulat. munamassa</t>
  </si>
  <si>
    <t>munapaino</t>
  </si>
  <si>
    <t>munamassa</t>
  </si>
  <si>
    <t>STD (g/10)</t>
  </si>
  <si>
    <t>kanan paino (g)</t>
  </si>
  <si>
    <t>poistuma</t>
  </si>
  <si>
    <t>2. luokan munien lkm</t>
  </si>
  <si>
    <t>rehun kulutus (g/kana)</t>
  </si>
  <si>
    <t>veden kulutus (ml/kana)</t>
  </si>
  <si>
    <t>1. luokan munien lkm</t>
  </si>
  <si>
    <t>rikkinäiset</t>
  </si>
  <si>
    <t>likaiset</t>
  </si>
  <si>
    <t>muut</t>
  </si>
  <si>
    <t>Yht.</t>
  </si>
  <si>
    <t>ikä vko</t>
  </si>
  <si>
    <r>
      <t>ulkoläm-pötila (</t>
    </r>
    <r>
      <rPr>
        <sz val="11"/>
        <color theme="0"/>
        <rFont val="Calibri"/>
        <family val="2"/>
      </rPr>
      <t>°</t>
    </r>
    <r>
      <rPr>
        <sz val="11"/>
        <color theme="0"/>
        <rFont val="Calibri"/>
        <family val="2"/>
        <scheme val="minor"/>
      </rPr>
      <t>C)</t>
    </r>
  </si>
  <si>
    <t>Lisätty rehu</t>
  </si>
  <si>
    <t>Eläinmäärä</t>
  </si>
  <si>
    <t>Muninta 1. luokka</t>
  </si>
  <si>
    <t>Muninta 2. luokka</t>
  </si>
  <si>
    <t>Syönti loppuu</t>
  </si>
  <si>
    <t>Päiväsyönti kg</t>
  </si>
  <si>
    <t>Rehua siiloissa</t>
  </si>
  <si>
    <t>poistuma lkm</t>
  </si>
  <si>
    <t>Rehu kestää pvä</t>
  </si>
  <si>
    <t>Päiväsyönti ka/vko</t>
  </si>
  <si>
    <t>Syönti alkaa</t>
  </si>
  <si>
    <t>Kasvattaja</t>
  </si>
  <si>
    <t>Parvitunnus</t>
  </si>
  <si>
    <t>Munittaja</t>
  </si>
  <si>
    <t>Toimitettu nuorikkomäärä</t>
  </si>
  <si>
    <t>Kasvattamoon tulopäivä</t>
  </si>
  <si>
    <t>Huomioita</t>
  </si>
  <si>
    <t>Toimitettu untuvikkomäärä</t>
  </si>
  <si>
    <t>Munittamoon tulopäivä</t>
  </si>
  <si>
    <t>Tila/kasvattamo</t>
  </si>
  <si>
    <t>Tila/munittamo</t>
  </si>
  <si>
    <t>Kuoriutumispäivä</t>
  </si>
  <si>
    <t>Syönnin arviot</t>
  </si>
  <si>
    <t>Loppuu</t>
  </si>
  <si>
    <t>Alkaa</t>
  </si>
  <si>
    <t>kanan paino  (g)</t>
  </si>
  <si>
    <t>rehun kulutus (kg/pvä)</t>
  </si>
  <si>
    <t>veden kulutus (l/pvä)</t>
  </si>
  <si>
    <t>rehun kulutus (g/kana/pvä)</t>
  </si>
  <si>
    <t>veden kulutus (ml/kana/pvä)</t>
  </si>
  <si>
    <t>STD munan paino (g)</t>
  </si>
  <si>
    <t>STD kana Y</t>
  </si>
  <si>
    <t>STD kana A</t>
  </si>
  <si>
    <t>STD kana E</t>
  </si>
  <si>
    <t>Kaavioteksti</t>
  </si>
  <si>
    <t>Tuonti-/
jauhatus-pvm</t>
  </si>
  <si>
    <t>Rehun/tuotteen nimi</t>
  </si>
  <si>
    <t>Rehuvaraston
tunniste</t>
  </si>
  <si>
    <t>Rehun määrä (kg)</t>
  </si>
  <si>
    <t>Varastoissa yht.</t>
  </si>
  <si>
    <t>Tuotu/jauhettu</t>
  </si>
  <si>
    <t>Toimittaja</t>
  </si>
  <si>
    <t>LSK Poultry Oy:n tuotannonseuranta</t>
  </si>
  <si>
    <t>Rehuotsikot</t>
  </si>
  <si>
    <t>vesi per pv (ml/kana)</t>
  </si>
  <si>
    <t>kanan paino (g/10)</t>
  </si>
  <si>
    <t>muninta-% (3pv ka)</t>
  </si>
  <si>
    <t>rehun kulutus (g/kana, 3pv ka)</t>
  </si>
  <si>
    <t>STD muninta E</t>
  </si>
  <si>
    <t>STD muninta A</t>
  </si>
  <si>
    <t>STD paino E</t>
  </si>
  <si>
    <t>STD paino A</t>
  </si>
  <si>
    <t>Yleistiedot</t>
  </si>
  <si>
    <t>kasv-PVÄ</t>
  </si>
  <si>
    <t>kasv-INFO</t>
  </si>
  <si>
    <t>kasv-DIA</t>
  </si>
  <si>
    <t>tuot-PVÄ</t>
  </si>
  <si>
    <t>päiväseuranta-DIA</t>
  </si>
  <si>
    <t>tuot-VKO</t>
  </si>
  <si>
    <t>tuot-INFO</t>
  </si>
  <si>
    <t>tuot-DIA</t>
  </si>
  <si>
    <t>rehu-vesi-INFO</t>
  </si>
  <si>
    <t>rehu-vesi-DIA</t>
  </si>
  <si>
    <t>tuot-rehukirjanpito</t>
  </si>
  <si>
    <t>Standardi</t>
  </si>
  <si>
    <t>LSL Classic häkki</t>
  </si>
  <si>
    <t>LSL Lite häkki</t>
  </si>
  <si>
    <t>LSL Classic avokanala</t>
  </si>
  <si>
    <t>LSL Lite avokanala</t>
  </si>
  <si>
    <t>Valinta (x)</t>
  </si>
  <si>
    <t>Standardin päiväys</t>
  </si>
  <si>
    <t>01/16</t>
  </si>
  <si>
    <t>Classic häkki MIN</t>
  </si>
  <si>
    <t>Classic häkki MAX</t>
  </si>
  <si>
    <t>Lite häkki MIN</t>
  </si>
  <si>
    <t>Lite häkki MAX</t>
  </si>
  <si>
    <t>Classic häkki rehu</t>
  </si>
  <si>
    <t>Lite häkki rehu</t>
  </si>
  <si>
    <t>Classic avo MIN</t>
  </si>
  <si>
    <t>Classic avo MAX</t>
  </si>
  <si>
    <t>Classic avo rehu</t>
  </si>
  <si>
    <t>Lite avo MIN</t>
  </si>
  <si>
    <t>Lite avo MAX</t>
  </si>
  <si>
    <t>Lite avo rehu</t>
  </si>
  <si>
    <t>Rehu</t>
  </si>
  <si>
    <t>x</t>
  </si>
  <si>
    <t>03/16</t>
  </si>
  <si>
    <t>STD munanpaino</t>
  </si>
  <si>
    <t>STD viikkotuotanto HD</t>
  </si>
  <si>
    <t>STD viikkotuotanto HH</t>
  </si>
  <si>
    <t>cl avo</t>
  </si>
  <si>
    <t>lite häkki</t>
  </si>
  <si>
    <t>lite avo</t>
  </si>
  <si>
    <t>cl häkki</t>
  </si>
  <si>
    <t>STD kumulat. munamassa kg</t>
  </si>
  <si>
    <t>STD g/vko munamassa</t>
  </si>
  <si>
    <t>Muistiinpanoja</t>
  </si>
  <si>
    <t>Ohjeet</t>
  </si>
  <si>
    <t>Tämän tiedoston taulukot:</t>
  </si>
  <si>
    <t>LSK Poultry Oy</t>
  </si>
  <si>
    <t>Tuotannonseurantaohjelma</t>
  </si>
  <si>
    <t>Tämä ohjelma on tarkoitettu Lohmann LSL-kanojen tuotannonseurantaan.</t>
  </si>
  <si>
    <t>Luvaton käyttö muuhun tarkoitukseen kielletty.</t>
  </si>
  <si>
    <t>Tuki:</t>
  </si>
  <si>
    <t>kimmo.kankare@lskpoultry.fi</t>
  </si>
  <si>
    <t>tämä taulukko</t>
  </si>
  <si>
    <t>Vapaa taulukko</t>
  </si>
  <si>
    <t>taulukko kasvatuksen päivittäisten tietojen syöttämiseen</t>
  </si>
  <si>
    <t>koontitaulu, joka kerää kasvatuksen päivittäiset tiedot viikkonäkymään</t>
  </si>
  <si>
    <t>kasvatuksen viikkonäkymästä koostettu diagrammi, jossa näkyvät kanojen paino sekä poistuma</t>
  </si>
  <si>
    <t>parven yleistiedot: kuoriutumispäivä, siirtopäivät, eläinmäärät ja omistajat. Käytettävän standardin valinta.</t>
  </si>
  <si>
    <t>taulukko tuotannon päivittäiseen syöttämiseen. 2. luokan munien otsikot voi muokata haluamikseen</t>
  </si>
  <si>
    <t>diagrammi munan painon tarkempaan seuraamiseen. Näkyvät munan ja kanan painot sekä rehun kulutuksen viimeisen 3 päivän keskiarvo</t>
  </si>
  <si>
    <t>taulukko tuotannon viikoittaiseen syöttämiseen. Hakee tiedot automaattisesti päivittäisten tietojen syötöstä MIKÄLI soluja ei ole ylikirjoitettu</t>
  </si>
  <si>
    <t>viikkonäkymästä tehty koontitaulu, jossa voi verrata parven tuotantotuloksia jalosteen standardeihin</t>
  </si>
  <si>
    <t>tuotannon diagrammi, jossa näkyvät elävyys, muninta, munapaino sekä munamassa sekä niiden standardit</t>
  </si>
  <si>
    <t>taulukko, jossa voi pitää parven rehuista kirjaa. Laskee päivämääräarviot ko. rehun syönnin alkamiselle ja loppumiselle. Arvio on suuntaa-antava.</t>
  </si>
  <si>
    <t>arvio lasketaan käyttämällä toteutuneita syöntejä, jotka on merkattu tuot-PVÄ -tauluun. Mikäli tauluun ei merkitä syöntejä, käytetään oletuksena 110 g/kana/pvä.</t>
  </si>
  <si>
    <t>taulukko rehun ja veden viikoittaisesta kulutuksesta</t>
  </si>
  <si>
    <t>diagrammi rehun ja veden viikottaisesta kulutuksesta</t>
  </si>
  <si>
    <t>Luo jokaiselle seurattavalle parvelle oma tiedosto kopioimalla tyhjä pohja ja nimeä se kuvaavalla nimellä.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</si>
</sst>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0.0"/>
    <numFmt numFmtId="165" formatCode="[=0]\ ;General"/>
    <numFmt numFmtId="166" formatCode="[=0]\ ;0.0"/>
    <numFmt numFmtId="167" formatCode="[=0]\ ;dd/\ mmm\ yy"/>
    <numFmt numFmtId="168" formatCode="[=0]\ ;0.00"/>
    <numFmt numFmtId="169" formatCode="[=0]\ ;0"/>
    <numFmt numFmtId="170" formatCode="[=0]\ ;0.000"/>
    <numFmt numFmtId="171" formatCode="d\.m\.yy;@"/>
  </numFmts>
  <fonts count="3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8"/>
      <color theme="3"/>
      <name val="Calibri"/>
      <family val="2"/>
      <scheme val="minor"/>
    </font>
    <font>
      <b/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7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22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2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0" fillId="0" borderId="0"/>
    <xf numFmtId="0" fontId="11" fillId="0" borderId="0"/>
    <xf numFmtId="44" fontId="4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2" borderId="30" applyNumberFormat="0" applyAlignment="0" applyProtection="0"/>
    <xf numFmtId="0" fontId="14" fillId="3" borderId="30" applyNumberFormat="0" applyAlignment="0" applyProtection="0"/>
    <xf numFmtId="0" fontId="15" fillId="0" borderId="0"/>
    <xf numFmtId="4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1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8" fillId="10" borderId="0" applyNumberFormat="0" applyBorder="0" applyAlignment="0" applyProtection="0"/>
    <xf numFmtId="0" fontId="9" fillId="11" borderId="0" applyNumberFormat="0" applyBorder="0" applyAlignment="0" applyProtection="0"/>
    <xf numFmtId="0" fontId="18" fillId="12" borderId="0" applyNumberFormat="0" applyBorder="0" applyAlignment="0" applyProtection="0"/>
    <xf numFmtId="1" fontId="9" fillId="5" borderId="34" applyNumberFormat="0">
      <alignment horizontal="center"/>
      <protection locked="0"/>
    </xf>
    <xf numFmtId="0" fontId="9" fillId="6" borderId="7" applyNumberFormat="0">
      <alignment horizontal="center"/>
    </xf>
    <xf numFmtId="165" fontId="18" fillId="7" borderId="4" applyNumberFormat="0">
      <alignment horizontal="center" wrapText="1"/>
    </xf>
    <xf numFmtId="0" fontId="27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 applyProtection="1"/>
    <xf numFmtId="0" fontId="6" fillId="0" borderId="0" xfId="0" applyFont="1" applyProtection="1"/>
    <xf numFmtId="164" fontId="0" fillId="0" borderId="0" xfId="0" applyNumberFormat="1" applyFill="1" applyProtection="1"/>
    <xf numFmtId="164" fontId="0" fillId="0" borderId="0" xfId="0" applyNumberFormat="1" applyProtection="1"/>
    <xf numFmtId="165" fontId="0" fillId="0" borderId="0" xfId="0" applyNumberFormat="1" applyProtection="1"/>
    <xf numFmtId="164" fontId="2" fillId="0" borderId="0" xfId="0" applyNumberFormat="1" applyFont="1" applyProtection="1"/>
    <xf numFmtId="164" fontId="2" fillId="0" borderId="0" xfId="0" applyNumberFormat="1" applyFont="1" applyFill="1" applyProtection="1"/>
    <xf numFmtId="164" fontId="7" fillId="0" borderId="0" xfId="0" applyNumberFormat="1" applyFont="1" applyProtection="1"/>
    <xf numFmtId="0" fontId="3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3" fillId="0" borderId="0" xfId="0" applyFont="1" applyProtection="1"/>
    <xf numFmtId="0" fontId="4" fillId="0" borderId="0" xfId="0" applyFont="1" applyProtection="1"/>
    <xf numFmtId="0" fontId="8" fillId="0" borderId="0" xfId="0" applyFont="1" applyProtection="1"/>
    <xf numFmtId="0" fontId="1" fillId="0" borderId="0" xfId="0" applyFont="1" applyProtection="1"/>
    <xf numFmtId="0" fontId="2" fillId="0" borderId="0" xfId="0" applyFont="1" applyProtection="1"/>
    <xf numFmtId="1" fontId="9" fillId="5" borderId="8" xfId="10" applyNumberFormat="1" applyBorder="1" applyAlignment="1" applyProtection="1">
      <alignment horizontal="center"/>
      <protection locked="0"/>
    </xf>
    <xf numFmtId="49" fontId="9" fillId="5" borderId="8" xfId="10" applyNumberFormat="1" applyBorder="1" applyAlignment="1" applyProtection="1">
      <alignment horizontal="center"/>
      <protection locked="0"/>
    </xf>
    <xf numFmtId="14" fontId="9" fillId="5" borderId="1" xfId="10" applyNumberFormat="1" applyBorder="1" applyAlignment="1" applyProtection="1">
      <alignment horizontal="right"/>
      <protection locked="0"/>
    </xf>
    <xf numFmtId="1" fontId="9" fillId="5" borderId="1" xfId="10" applyNumberFormat="1" applyBorder="1" applyProtection="1">
      <protection locked="0"/>
    </xf>
    <xf numFmtId="0" fontId="18" fillId="7" borderId="4" xfId="12" applyBorder="1" applyAlignment="1" applyProtection="1">
      <alignment horizontal="center" wrapText="1"/>
    </xf>
    <xf numFmtId="0" fontId="18" fillId="7" borderId="5" xfId="12" applyBorder="1" applyAlignment="1" applyProtection="1">
      <alignment horizontal="center" wrapText="1"/>
    </xf>
    <xf numFmtId="0" fontId="9" fillId="6" borderId="7" xfId="11" applyBorder="1" applyAlignment="1" applyProtection="1">
      <alignment horizontal="center" wrapText="1"/>
    </xf>
    <xf numFmtId="0" fontId="9" fillId="6" borderId="7" xfId="11" applyBorder="1" applyAlignment="1" applyProtection="1">
      <alignment horizontal="center"/>
    </xf>
    <xf numFmtId="0" fontId="9" fillId="6" borderId="9" xfId="11" applyBorder="1" applyAlignment="1" applyProtection="1">
      <alignment horizontal="center"/>
    </xf>
    <xf numFmtId="1" fontId="9" fillId="5" borderId="11" xfId="10" applyNumberFormat="1" applyBorder="1" applyAlignment="1" applyProtection="1">
      <alignment horizontal="center"/>
      <protection locked="0"/>
    </xf>
    <xf numFmtId="164" fontId="9" fillId="5" borderId="8" xfId="10" applyNumberFormat="1" applyBorder="1" applyAlignment="1" applyProtection="1">
      <alignment horizontal="center"/>
      <protection locked="0"/>
    </xf>
    <xf numFmtId="1" fontId="9" fillId="5" borderId="13" xfId="10" applyNumberFormat="1" applyBorder="1" applyAlignment="1" applyProtection="1">
      <alignment horizontal="center"/>
      <protection locked="0"/>
    </xf>
    <xf numFmtId="1" fontId="9" fillId="5" borderId="14" xfId="10" applyNumberFormat="1" applyBorder="1" applyAlignment="1" applyProtection="1">
      <alignment horizontal="center"/>
      <protection locked="0"/>
    </xf>
    <xf numFmtId="1" fontId="9" fillId="5" borderId="33" xfId="10" applyNumberFormat="1" applyBorder="1" applyAlignment="1" applyProtection="1">
      <alignment horizontal="center"/>
      <protection locked="0"/>
    </xf>
    <xf numFmtId="1" fontId="9" fillId="5" borderId="34" xfId="10" applyNumberFormat="1" applyBorder="1" applyAlignment="1" applyProtection="1">
      <alignment horizontal="center"/>
      <protection locked="0"/>
    </xf>
    <xf numFmtId="1" fontId="9" fillId="5" borderId="22" xfId="10" applyNumberFormat="1" applyBorder="1" applyAlignment="1" applyProtection="1">
      <alignment horizontal="center"/>
      <protection locked="0"/>
    </xf>
    <xf numFmtId="1" fontId="9" fillId="5" borderId="35" xfId="10" applyNumberForma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wrapText="1"/>
    </xf>
    <xf numFmtId="0" fontId="6" fillId="0" borderId="0" xfId="0" applyFont="1" applyBorder="1" applyProtection="1"/>
    <xf numFmtId="0" fontId="0" fillId="0" borderId="0" xfId="0" applyFill="1" applyProtection="1"/>
    <xf numFmtId="165" fontId="4" fillId="0" borderId="0" xfId="0" applyNumberFormat="1" applyFont="1" applyFill="1" applyBorder="1" applyAlignment="1" applyProtection="1"/>
    <xf numFmtId="0" fontId="0" fillId="0" borderId="0" xfId="0" applyBorder="1" applyProtection="1"/>
    <xf numFmtId="165" fontId="4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Continuous"/>
    </xf>
    <xf numFmtId="165" fontId="18" fillId="7" borderId="5" xfId="12" applyNumberFormat="1" applyBorder="1" applyAlignment="1" applyProtection="1">
      <alignment horizontal="center" wrapText="1"/>
    </xf>
    <xf numFmtId="165" fontId="18" fillId="7" borderId="4" xfId="12" applyNumberFormat="1" applyBorder="1" applyAlignment="1" applyProtection="1">
      <alignment horizontal="center" wrapText="1"/>
    </xf>
    <xf numFmtId="0" fontId="4" fillId="0" borderId="0" xfId="0" applyFont="1" applyBorder="1" applyProtection="1"/>
    <xf numFmtId="14" fontId="9" fillId="6" borderId="7" xfId="11" applyNumberFormat="1" applyBorder="1" applyAlignment="1" applyProtection="1">
      <alignment horizontal="right"/>
    </xf>
    <xf numFmtId="164" fontId="4" fillId="0" borderId="0" xfId="0" applyNumberFormat="1" applyFont="1" applyProtection="1"/>
    <xf numFmtId="165" fontId="4" fillId="0" borderId="0" xfId="0" applyNumberFormat="1" applyFont="1" applyBorder="1" applyProtection="1"/>
    <xf numFmtId="165" fontId="4" fillId="0" borderId="0" xfId="0" applyNumberFormat="1" applyFont="1" applyProtection="1"/>
    <xf numFmtId="165" fontId="0" fillId="0" borderId="0" xfId="0" applyNumberFormat="1" applyBorder="1" applyProtection="1"/>
    <xf numFmtId="0" fontId="17" fillId="0" borderId="0" xfId="9" applyProtection="1"/>
    <xf numFmtId="164" fontId="17" fillId="0" borderId="0" xfId="9" applyNumberFormat="1" applyFill="1" applyProtection="1"/>
    <xf numFmtId="14" fontId="9" fillId="5" borderId="1" xfId="10" applyNumberFormat="1" applyBorder="1" applyAlignment="1" applyProtection="1">
      <protection locked="0"/>
    </xf>
    <xf numFmtId="1" fontId="9" fillId="5" borderId="1" xfId="10" applyNumberFormat="1" applyBorder="1" applyAlignment="1" applyProtection="1">
      <protection locked="0"/>
    </xf>
    <xf numFmtId="165" fontId="0" fillId="0" borderId="0" xfId="0" applyNumberFormat="1" applyFill="1" applyProtection="1"/>
    <xf numFmtId="14" fontId="9" fillId="6" borderId="3" xfId="11" applyNumberFormat="1" applyBorder="1" applyAlignment="1" applyProtection="1"/>
    <xf numFmtId="0" fontId="19" fillId="0" borderId="0" xfId="0" applyFont="1" applyAlignment="1" applyProtection="1">
      <alignment wrapText="1"/>
      <protection hidden="1"/>
    </xf>
    <xf numFmtId="0" fontId="18" fillId="0" borderId="0" xfId="0" applyFont="1" applyProtection="1"/>
    <xf numFmtId="0" fontId="19" fillId="0" borderId="0" xfId="0" applyFont="1" applyBorder="1" applyAlignment="1" applyProtection="1">
      <alignment wrapText="1"/>
      <protection hidden="1"/>
    </xf>
    <xf numFmtId="164" fontId="20" fillId="0" borderId="6" xfId="0" applyNumberFormat="1" applyFont="1" applyFill="1" applyBorder="1" applyAlignment="1" applyProtection="1">
      <alignment horizontal="center"/>
      <protection hidden="1"/>
    </xf>
    <xf numFmtId="164" fontId="20" fillId="0" borderId="0" xfId="0" applyNumberFormat="1" applyFont="1" applyFill="1" applyBorder="1" applyAlignment="1" applyProtection="1">
      <alignment horizontal="center"/>
      <protection hidden="1"/>
    </xf>
    <xf numFmtId="164" fontId="20" fillId="0" borderId="0" xfId="0" applyNumberFormat="1" applyFont="1" applyBorder="1" applyProtection="1">
      <protection hidden="1"/>
    </xf>
    <xf numFmtId="166" fontId="20" fillId="0" borderId="0" xfId="0" applyNumberFormat="1" applyFont="1" applyBorder="1" applyProtection="1">
      <protection hidden="1"/>
    </xf>
    <xf numFmtId="0" fontId="20" fillId="0" borderId="0" xfId="0" applyFont="1" applyBorder="1" applyProtection="1">
      <protection hidden="1"/>
    </xf>
    <xf numFmtId="0" fontId="19" fillId="0" borderId="0" xfId="0" applyFont="1" applyFill="1" applyAlignment="1" applyProtection="1">
      <alignment wrapText="1"/>
      <protection hidden="1"/>
    </xf>
    <xf numFmtId="1" fontId="9" fillId="5" borderId="8" xfId="10" applyNumberFormat="1" applyBorder="1" applyAlignment="1" applyProtection="1">
      <alignment horizontal="center"/>
      <protection locked="0" hidden="1"/>
    </xf>
    <xf numFmtId="1" fontId="9" fillId="5" borderId="10" xfId="10" applyNumberFormat="1" applyBorder="1" applyAlignment="1" applyProtection="1">
      <alignment horizontal="center"/>
      <protection locked="0" hidden="1"/>
    </xf>
    <xf numFmtId="1" fontId="9" fillId="6" borderId="11" xfId="11" applyNumberFormat="1" applyBorder="1" applyAlignment="1" applyProtection="1">
      <alignment horizontal="center"/>
      <protection hidden="1"/>
    </xf>
    <xf numFmtId="1" fontId="9" fillId="5" borderId="35" xfId="10" applyNumberFormat="1" applyBorder="1" applyAlignment="1" applyProtection="1">
      <alignment horizontal="center"/>
      <protection locked="0" hidden="1"/>
    </xf>
    <xf numFmtId="165" fontId="6" fillId="0" borderId="0" xfId="0" applyNumberFormat="1" applyFont="1" applyFill="1" applyBorder="1" applyProtection="1"/>
    <xf numFmtId="164" fontId="3" fillId="0" borderId="0" xfId="0" applyNumberFormat="1" applyFont="1" applyProtection="1"/>
    <xf numFmtId="0" fontId="15" fillId="0" borderId="0" xfId="0" applyFont="1" applyProtection="1"/>
    <xf numFmtId="165" fontId="15" fillId="0" borderId="0" xfId="0" applyNumberFormat="1" applyFont="1" applyProtection="1"/>
    <xf numFmtId="164" fontId="21" fillId="7" borderId="29" xfId="12" applyNumberFormat="1" applyFont="1" applyBorder="1" applyAlignment="1" applyProtection="1"/>
    <xf numFmtId="0" fontId="21" fillId="7" borderId="39" xfId="12" applyFont="1" applyBorder="1" applyAlignment="1" applyProtection="1">
      <alignment horizontal="center" textRotation="90" wrapText="1"/>
    </xf>
    <xf numFmtId="164" fontId="21" fillId="7" borderId="18" xfId="12" applyNumberFormat="1" applyFont="1" applyBorder="1" applyAlignment="1" applyProtection="1">
      <alignment horizontal="center" textRotation="90" wrapText="1"/>
    </xf>
    <xf numFmtId="164" fontId="21" fillId="7" borderId="5" xfId="12" applyNumberFormat="1" applyFont="1" applyBorder="1" applyAlignment="1" applyProtection="1">
      <alignment horizontal="center" textRotation="90" wrapText="1"/>
    </xf>
    <xf numFmtId="164" fontId="15" fillId="9" borderId="19" xfId="14" applyNumberFormat="1" applyFont="1" applyBorder="1" applyAlignment="1" applyProtection="1">
      <alignment horizontal="center" textRotation="90" wrapText="1"/>
    </xf>
    <xf numFmtId="0" fontId="21" fillId="7" borderId="18" xfId="12" applyFont="1" applyBorder="1" applyAlignment="1" applyProtection="1">
      <alignment horizontal="center" textRotation="90" wrapText="1"/>
    </xf>
    <xf numFmtId="0" fontId="21" fillId="7" borderId="4" xfId="12" applyFont="1" applyBorder="1" applyAlignment="1" applyProtection="1">
      <alignment horizontal="center" textRotation="90" wrapText="1"/>
    </xf>
    <xf numFmtId="165" fontId="21" fillId="7" borderId="5" xfId="12" applyNumberFormat="1" applyFont="1" applyBorder="1" applyAlignment="1" applyProtection="1">
      <alignment horizontal="center" textRotation="90" wrapText="1"/>
    </xf>
    <xf numFmtId="164" fontId="15" fillId="9" borderId="5" xfId="14" applyNumberFormat="1" applyFont="1" applyBorder="1" applyAlignment="1" applyProtection="1">
      <alignment horizontal="center" textRotation="90" wrapText="1"/>
    </xf>
    <xf numFmtId="165" fontId="21" fillId="7" borderId="18" xfId="12" applyNumberFormat="1" applyFont="1" applyBorder="1" applyAlignment="1" applyProtection="1">
      <alignment horizontal="center" textRotation="90" wrapText="1"/>
    </xf>
    <xf numFmtId="0" fontId="21" fillId="7" borderId="40" xfId="12" applyFont="1" applyBorder="1" applyAlignment="1" applyProtection="1">
      <alignment horizontal="center"/>
    </xf>
    <xf numFmtId="1" fontId="15" fillId="8" borderId="43" xfId="13" applyNumberFormat="1" applyFont="1" applyBorder="1" applyAlignment="1" applyProtection="1">
      <alignment horizontal="center"/>
    </xf>
    <xf numFmtId="164" fontId="15" fillId="8" borderId="44" xfId="13" applyNumberFormat="1" applyFont="1" applyBorder="1" applyAlignment="1" applyProtection="1">
      <alignment horizontal="center"/>
    </xf>
    <xf numFmtId="164" fontId="15" fillId="9" borderId="45" xfId="14" applyNumberFormat="1" applyFont="1" applyBorder="1" applyAlignment="1" applyProtection="1">
      <alignment horizontal="center"/>
    </xf>
    <xf numFmtId="164" fontId="15" fillId="8" borderId="43" xfId="13" applyNumberFormat="1" applyFont="1" applyBorder="1" applyAlignment="1" applyProtection="1">
      <alignment horizontal="center"/>
    </xf>
    <xf numFmtId="164" fontId="15" fillId="8" borderId="32" xfId="13" applyNumberFormat="1" applyFont="1" applyBorder="1" applyAlignment="1" applyProtection="1">
      <alignment horizontal="center"/>
    </xf>
    <xf numFmtId="164" fontId="15" fillId="9" borderId="46" xfId="14" applyNumberFormat="1" applyFont="1" applyBorder="1" applyAlignment="1" applyProtection="1">
      <alignment horizontal="center"/>
    </xf>
    <xf numFmtId="1" fontId="15" fillId="9" borderId="46" xfId="14" applyNumberFormat="1" applyFont="1" applyBorder="1" applyAlignment="1" applyProtection="1">
      <alignment horizontal="center"/>
    </xf>
    <xf numFmtId="2" fontId="15" fillId="8" borderId="44" xfId="13" applyNumberFormat="1" applyFont="1" applyBorder="1" applyAlignment="1" applyProtection="1">
      <alignment horizontal="center"/>
    </xf>
    <xf numFmtId="2" fontId="15" fillId="9" borderId="45" xfId="14" applyNumberFormat="1" applyFont="1" applyBorder="1" applyAlignment="1" applyProtection="1">
      <alignment horizontal="center"/>
    </xf>
    <xf numFmtId="1" fontId="15" fillId="8" borderId="20" xfId="13" applyNumberFormat="1" applyFont="1" applyBorder="1" applyAlignment="1" applyProtection="1">
      <alignment horizontal="center"/>
    </xf>
    <xf numFmtId="164" fontId="15" fillId="8" borderId="23" xfId="13" applyNumberFormat="1" applyFont="1" applyBorder="1" applyAlignment="1" applyProtection="1">
      <alignment horizontal="center"/>
    </xf>
    <xf numFmtId="164" fontId="15" fillId="9" borderId="21" xfId="14" applyNumberFormat="1" applyFont="1" applyBorder="1" applyAlignment="1" applyProtection="1">
      <alignment horizontal="center"/>
    </xf>
    <xf numFmtId="164" fontId="15" fillId="8" borderId="20" xfId="13" applyNumberFormat="1" applyFont="1" applyBorder="1" applyAlignment="1" applyProtection="1">
      <alignment horizontal="center"/>
    </xf>
    <xf numFmtId="164" fontId="15" fillId="8" borderId="7" xfId="13" applyNumberFormat="1" applyFont="1" applyBorder="1" applyAlignment="1" applyProtection="1">
      <alignment horizontal="center"/>
    </xf>
    <xf numFmtId="164" fontId="15" fillId="9" borderId="12" xfId="14" applyNumberFormat="1" applyFont="1" applyBorder="1" applyAlignment="1" applyProtection="1">
      <alignment horizontal="center"/>
    </xf>
    <xf numFmtId="1" fontId="15" fillId="9" borderId="12" xfId="14" applyNumberFormat="1" applyFont="1" applyBorder="1" applyAlignment="1" applyProtection="1">
      <alignment horizontal="center"/>
    </xf>
    <xf numFmtId="2" fontId="15" fillId="8" borderId="23" xfId="13" applyNumberFormat="1" applyFont="1" applyBorder="1" applyAlignment="1" applyProtection="1">
      <alignment horizontal="center"/>
    </xf>
    <xf numFmtId="2" fontId="15" fillId="9" borderId="21" xfId="14" applyNumberFormat="1" applyFont="1" applyBorder="1" applyAlignment="1" applyProtection="1">
      <alignment horizontal="center"/>
    </xf>
    <xf numFmtId="0" fontId="21" fillId="7" borderId="42" xfId="12" applyFont="1" applyBorder="1" applyAlignment="1" applyProtection="1">
      <alignment horizontal="center"/>
    </xf>
    <xf numFmtId="1" fontId="15" fillId="8" borderId="28" xfId="13" applyNumberFormat="1" applyFont="1" applyBorder="1" applyAlignment="1" applyProtection="1">
      <alignment horizontal="center"/>
    </xf>
    <xf numFmtId="164" fontId="15" fillId="8" borderId="51" xfId="13" applyNumberFormat="1" applyFont="1" applyBorder="1" applyAlignment="1" applyProtection="1">
      <alignment horizontal="center"/>
    </xf>
    <xf numFmtId="164" fontId="15" fillId="9" borderId="52" xfId="14" applyNumberFormat="1" applyFont="1" applyBorder="1" applyAlignment="1" applyProtection="1">
      <alignment horizontal="center"/>
    </xf>
    <xf numFmtId="164" fontId="15" fillId="8" borderId="28" xfId="13" applyNumberFormat="1" applyFont="1" applyBorder="1" applyAlignment="1" applyProtection="1">
      <alignment horizontal="center"/>
    </xf>
    <xf numFmtId="164" fontId="15" fillId="8" borderId="9" xfId="13" applyNumberFormat="1" applyFont="1" applyBorder="1" applyAlignment="1" applyProtection="1">
      <alignment horizontal="center"/>
    </xf>
    <xf numFmtId="164" fontId="15" fillId="9" borderId="15" xfId="14" applyNumberFormat="1" applyFont="1" applyBorder="1" applyAlignment="1" applyProtection="1">
      <alignment horizontal="center"/>
    </xf>
    <xf numFmtId="1" fontId="15" fillId="9" borderId="15" xfId="14" applyNumberFormat="1" applyFont="1" applyBorder="1" applyAlignment="1" applyProtection="1">
      <alignment horizontal="center"/>
    </xf>
    <xf numFmtId="2" fontId="15" fillId="8" borderId="51" xfId="13" applyNumberFormat="1" applyFont="1" applyBorder="1" applyAlignment="1" applyProtection="1">
      <alignment horizontal="center"/>
    </xf>
    <xf numFmtId="2" fontId="15" fillId="9" borderId="52" xfId="14" applyNumberFormat="1" applyFont="1" applyBorder="1" applyAlignment="1" applyProtection="1">
      <alignment horizontal="center"/>
    </xf>
    <xf numFmtId="0" fontId="21" fillId="7" borderId="41" xfId="12" applyFont="1" applyBorder="1" applyAlignment="1" applyProtection="1">
      <alignment horizontal="center"/>
    </xf>
    <xf numFmtId="164" fontId="15" fillId="9" borderId="26" xfId="14" applyNumberFormat="1" applyFont="1" applyBorder="1" applyAlignment="1" applyProtection="1">
      <alignment horizontal="center"/>
    </xf>
    <xf numFmtId="164" fontId="15" fillId="8" borderId="25" xfId="13" applyNumberFormat="1" applyFont="1" applyBorder="1" applyAlignment="1" applyProtection="1">
      <alignment horizontal="center"/>
    </xf>
    <xf numFmtId="164" fontId="15" fillId="9" borderId="27" xfId="14" applyNumberFormat="1" applyFont="1" applyBorder="1" applyAlignment="1" applyProtection="1">
      <alignment horizontal="center"/>
    </xf>
    <xf numFmtId="1" fontId="15" fillId="8" borderId="24" xfId="13" applyNumberFormat="1" applyFont="1" applyBorder="1" applyAlignment="1" applyProtection="1">
      <alignment horizontal="center"/>
    </xf>
    <xf numFmtId="1" fontId="15" fillId="9" borderId="27" xfId="14" applyNumberFormat="1" applyFont="1" applyBorder="1" applyAlignment="1" applyProtection="1">
      <alignment horizontal="center"/>
    </xf>
    <xf numFmtId="2" fontId="15" fillId="8" borderId="25" xfId="13" applyNumberFormat="1" applyFont="1" applyBorder="1" applyAlignment="1" applyProtection="1">
      <alignment horizontal="center"/>
    </xf>
    <xf numFmtId="2" fontId="15" fillId="9" borderId="26" xfId="14" applyNumberFormat="1" applyFont="1" applyBorder="1" applyAlignment="1" applyProtection="1">
      <alignment horizontal="center"/>
    </xf>
    <xf numFmtId="164" fontId="15" fillId="8" borderId="24" xfId="13" applyNumberFormat="1" applyFont="1" applyBorder="1" applyAlignment="1" applyProtection="1">
      <alignment horizontal="center"/>
    </xf>
    <xf numFmtId="164" fontId="15" fillId="8" borderId="38" xfId="13" applyNumberFormat="1" applyFont="1" applyBorder="1" applyAlignment="1" applyProtection="1">
      <alignment horizontal="center"/>
    </xf>
    <xf numFmtId="0" fontId="21" fillId="7" borderId="53" xfId="12" applyFont="1" applyBorder="1" applyAlignment="1" applyProtection="1">
      <alignment horizontal="center"/>
    </xf>
    <xf numFmtId="0" fontId="21" fillId="7" borderId="50" xfId="12" applyFont="1" applyBorder="1" applyAlignment="1" applyProtection="1">
      <alignment horizontal="center"/>
    </xf>
    <xf numFmtId="167" fontId="5" fillId="0" borderId="63" xfId="0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167" fontId="5" fillId="0" borderId="0" xfId="0" applyNumberFormat="1" applyFont="1" applyFill="1" applyBorder="1" applyAlignment="1" applyProtection="1">
      <alignment horizontal="center"/>
    </xf>
    <xf numFmtId="0" fontId="21" fillId="7" borderId="4" xfId="12" applyFont="1" applyBorder="1" applyAlignment="1" applyProtection="1">
      <alignment horizontal="center" wrapText="1"/>
    </xf>
    <xf numFmtId="0" fontId="21" fillId="7" borderId="5" xfId="12" applyFont="1" applyBorder="1" applyAlignment="1" applyProtection="1">
      <alignment horizontal="center" wrapText="1"/>
    </xf>
    <xf numFmtId="164" fontId="21" fillId="7" borderId="5" xfId="12" applyNumberFormat="1" applyFont="1" applyBorder="1" applyAlignment="1" applyProtection="1">
      <alignment horizontal="center" wrapText="1"/>
    </xf>
    <xf numFmtId="14" fontId="15" fillId="6" borderId="57" xfId="11" applyNumberFormat="1" applyFont="1" applyBorder="1" applyAlignment="1" applyProtection="1">
      <alignment wrapText="1"/>
    </xf>
    <xf numFmtId="169" fontId="15" fillId="6" borderId="58" xfId="11" applyNumberFormat="1" applyFont="1" applyBorder="1" applyAlignment="1" applyProtection="1">
      <alignment horizontal="center"/>
    </xf>
    <xf numFmtId="168" fontId="15" fillId="6" borderId="58" xfId="11" applyNumberFormat="1" applyFont="1" applyBorder="1" applyAlignment="1" applyProtection="1">
      <alignment horizontal="center"/>
    </xf>
    <xf numFmtId="164" fontId="15" fillId="9" borderId="59" xfId="14" applyNumberFormat="1" applyFont="1" applyBorder="1" applyAlignment="1" applyProtection="1">
      <alignment horizontal="center"/>
    </xf>
    <xf numFmtId="166" fontId="15" fillId="6" borderId="58" xfId="11" applyNumberFormat="1" applyFont="1" applyBorder="1" applyAlignment="1" applyProtection="1">
      <alignment horizontal="center"/>
    </xf>
    <xf numFmtId="0" fontId="15" fillId="6" borderId="57" xfId="11" applyFont="1" applyBorder="1" applyAlignment="1" applyProtection="1">
      <alignment horizontal="center"/>
    </xf>
    <xf numFmtId="0" fontId="15" fillId="6" borderId="60" xfId="11" applyFont="1" applyBorder="1" applyAlignment="1" applyProtection="1">
      <alignment horizontal="center"/>
    </xf>
    <xf numFmtId="164" fontId="15" fillId="9" borderId="62" xfId="14" applyNumberFormat="1" applyFont="1" applyBorder="1" applyAlignment="1" applyProtection="1">
      <alignment horizontal="center"/>
    </xf>
    <xf numFmtId="166" fontId="15" fillId="6" borderId="61" xfId="11" applyNumberFormat="1" applyFont="1" applyBorder="1" applyAlignment="1" applyProtection="1">
      <alignment horizontal="center"/>
    </xf>
    <xf numFmtId="167" fontId="5" fillId="0" borderId="0" xfId="0" applyNumberFormat="1" applyFont="1" applyFill="1" applyBorder="1" applyProtection="1"/>
    <xf numFmtId="0" fontId="21" fillId="7" borderId="16" xfId="12" applyFont="1" applyBorder="1" applyProtection="1"/>
    <xf numFmtId="0" fontId="21" fillId="7" borderId="17" xfId="12" applyFont="1" applyBorder="1" applyProtection="1"/>
    <xf numFmtId="0" fontId="21" fillId="7" borderId="5" xfId="12" applyFont="1" applyBorder="1" applyAlignment="1" applyProtection="1">
      <alignment horizontal="center" textRotation="90" wrapText="1"/>
    </xf>
    <xf numFmtId="0" fontId="21" fillId="7" borderId="19" xfId="12" applyFont="1" applyBorder="1" applyAlignment="1" applyProtection="1">
      <alignment horizontal="center" textRotation="90" wrapText="1"/>
    </xf>
    <xf numFmtId="0" fontId="15" fillId="9" borderId="5" xfId="14" applyFont="1" applyBorder="1" applyAlignment="1" applyProtection="1">
      <alignment horizontal="center" textRotation="90" wrapText="1"/>
    </xf>
    <xf numFmtId="164" fontId="21" fillId="7" borderId="19" xfId="12" applyNumberFormat="1" applyFont="1" applyBorder="1" applyAlignment="1" applyProtection="1">
      <alignment horizontal="center" textRotation="90" wrapText="1"/>
    </xf>
    <xf numFmtId="0" fontId="21" fillId="7" borderId="20" xfId="12" applyFont="1" applyBorder="1" applyAlignment="1" applyProtection="1">
      <alignment horizontal="center"/>
    </xf>
    <xf numFmtId="169" fontId="15" fillId="8" borderId="12" xfId="13" applyNumberFormat="1" applyFont="1" applyBorder="1" applyAlignment="1" applyProtection="1">
      <alignment horizontal="center"/>
    </xf>
    <xf numFmtId="169" fontId="15" fillId="8" borderId="20" xfId="13" applyNumberFormat="1" applyFont="1" applyBorder="1" applyAlignment="1" applyProtection="1">
      <alignment horizontal="center"/>
    </xf>
    <xf numFmtId="170" fontId="15" fillId="8" borderId="12" xfId="13" applyNumberFormat="1" applyFont="1" applyBorder="1" applyAlignment="1" applyProtection="1">
      <alignment horizontal="center"/>
    </xf>
    <xf numFmtId="166" fontId="15" fillId="8" borderId="20" xfId="13" applyNumberFormat="1" applyFont="1" applyBorder="1" applyAlignment="1" applyProtection="1">
      <alignment horizontal="center"/>
    </xf>
    <xf numFmtId="166" fontId="15" fillId="8" borderId="21" xfId="13" applyNumberFormat="1" applyFont="1" applyBorder="1" applyAlignment="1" applyProtection="1">
      <alignment horizontal="center"/>
    </xf>
    <xf numFmtId="166" fontId="15" fillId="8" borderId="12" xfId="13" applyNumberFormat="1" applyFont="1" applyBorder="1" applyAlignment="1" applyProtection="1">
      <alignment horizontal="center"/>
    </xf>
    <xf numFmtId="0" fontId="21" fillId="7" borderId="28" xfId="12" applyFont="1" applyBorder="1" applyAlignment="1" applyProtection="1">
      <alignment horizontal="center"/>
    </xf>
    <xf numFmtId="169" fontId="15" fillId="8" borderId="15" xfId="13" applyNumberFormat="1" applyFont="1" applyBorder="1" applyAlignment="1" applyProtection="1">
      <alignment horizontal="center"/>
    </xf>
    <xf numFmtId="169" fontId="15" fillId="8" borderId="28" xfId="13" applyNumberFormat="1" applyFont="1" applyBorder="1" applyAlignment="1" applyProtection="1">
      <alignment horizontal="center"/>
    </xf>
    <xf numFmtId="170" fontId="15" fillId="8" borderId="15" xfId="13" applyNumberFormat="1" applyFont="1" applyBorder="1" applyAlignment="1" applyProtection="1">
      <alignment horizontal="center"/>
    </xf>
    <xf numFmtId="166" fontId="15" fillId="8" borderId="28" xfId="13" applyNumberFormat="1" applyFont="1" applyBorder="1" applyAlignment="1" applyProtection="1">
      <alignment horizontal="center"/>
    </xf>
    <xf numFmtId="166" fontId="15" fillId="8" borderId="54" xfId="13" applyNumberFormat="1" applyFont="1" applyBorder="1" applyAlignment="1" applyProtection="1">
      <alignment horizontal="center"/>
    </xf>
    <xf numFmtId="166" fontId="15" fillId="8" borderId="15" xfId="13" applyNumberFormat="1" applyFont="1" applyBorder="1" applyAlignment="1" applyProtection="1">
      <alignment horizontal="center"/>
    </xf>
    <xf numFmtId="0" fontId="21" fillId="7" borderId="24" xfId="12" applyFont="1" applyBorder="1" applyAlignment="1" applyProtection="1">
      <alignment horizontal="center"/>
    </xf>
    <xf numFmtId="169" fontId="15" fillId="8" borderId="27" xfId="13" applyNumberFormat="1" applyFont="1" applyBorder="1" applyAlignment="1" applyProtection="1">
      <alignment horizontal="center"/>
    </xf>
    <xf numFmtId="169" fontId="15" fillId="8" borderId="24" xfId="13" applyNumberFormat="1" applyFont="1" applyBorder="1" applyAlignment="1" applyProtection="1">
      <alignment horizontal="center"/>
    </xf>
    <xf numFmtId="170" fontId="15" fillId="8" borderId="27" xfId="13" applyNumberFormat="1" applyFont="1" applyBorder="1" applyAlignment="1" applyProtection="1">
      <alignment horizontal="center"/>
    </xf>
    <xf numFmtId="166" fontId="15" fillId="8" borderId="24" xfId="13" applyNumberFormat="1" applyFont="1" applyBorder="1" applyAlignment="1" applyProtection="1">
      <alignment horizontal="center"/>
    </xf>
    <xf numFmtId="166" fontId="15" fillId="8" borderId="55" xfId="13" applyNumberFormat="1" applyFont="1" applyBorder="1" applyAlignment="1" applyProtection="1">
      <alignment horizontal="center"/>
    </xf>
    <xf numFmtId="165" fontId="3" fillId="0" borderId="0" xfId="0" applyNumberFormat="1" applyFont="1" applyFill="1" applyBorder="1" applyProtection="1"/>
    <xf numFmtId="1" fontId="9" fillId="6" borderId="1" xfId="11" applyNumberFormat="1" applyBorder="1" applyAlignment="1" applyProtection="1"/>
    <xf numFmtId="164" fontId="9" fillId="5" borderId="8" xfId="10" applyNumberFormat="1" applyBorder="1" applyAlignment="1" applyProtection="1">
      <alignment horizontal="center"/>
      <protection locked="0" hidden="1"/>
    </xf>
    <xf numFmtId="164" fontId="9" fillId="5" borderId="10" xfId="10" applyNumberFormat="1" applyBorder="1" applyAlignment="1" applyProtection="1">
      <alignment horizontal="center"/>
      <protection locked="0" hidden="1"/>
    </xf>
    <xf numFmtId="171" fontId="9" fillId="6" borderId="7" xfId="11" applyNumberFormat="1" applyBorder="1" applyAlignment="1" applyProtection="1">
      <alignment horizontal="right"/>
    </xf>
    <xf numFmtId="1" fontId="9" fillId="5" borderId="65" xfId="10" applyNumberFormat="1" applyBorder="1" applyAlignment="1" applyProtection="1">
      <alignment horizontal="center"/>
      <protection locked="0"/>
    </xf>
    <xf numFmtId="165" fontId="0" fillId="11" borderId="4" xfId="16" applyNumberFormat="1" applyFont="1" applyBorder="1" applyAlignment="1" applyProtection="1">
      <alignment horizontal="center" wrapText="1"/>
      <protection locked="0"/>
    </xf>
    <xf numFmtId="165" fontId="9" fillId="11" borderId="4" xfId="16" applyNumberFormat="1" applyBorder="1" applyAlignment="1" applyProtection="1">
      <alignment horizontal="center" wrapText="1"/>
      <protection locked="0"/>
    </xf>
    <xf numFmtId="0" fontId="23" fillId="0" borderId="0" xfId="0" applyFont="1"/>
    <xf numFmtId="171" fontId="0" fillId="0" borderId="0" xfId="0" applyNumberFormat="1"/>
    <xf numFmtId="1" fontId="0" fillId="0" borderId="0" xfId="0" applyNumberFormat="1"/>
    <xf numFmtId="1" fontId="0" fillId="5" borderId="34" xfId="10" applyNumberFormat="1" applyFont="1" applyBorder="1" applyAlignment="1" applyProtection="1">
      <alignment horizontal="center"/>
      <protection locked="0"/>
    </xf>
    <xf numFmtId="171" fontId="9" fillId="6" borderId="6" xfId="11" applyNumberFormat="1" applyBorder="1" applyAlignment="1" applyProtection="1">
      <alignment horizontal="right" wrapText="1"/>
    </xf>
    <xf numFmtId="1" fontId="9" fillId="5" borderId="66" xfId="10" applyNumberFormat="1" applyBorder="1" applyAlignment="1" applyProtection="1">
      <alignment horizontal="center"/>
      <protection locked="0"/>
    </xf>
    <xf numFmtId="49" fontId="9" fillId="5" borderId="66" xfId="10" applyNumberFormat="1" applyBorder="1" applyAlignment="1" applyProtection="1">
      <alignment horizontal="center"/>
      <protection locked="0"/>
    </xf>
    <xf numFmtId="164" fontId="9" fillId="9" borderId="59" xfId="14" applyNumberFormat="1" applyBorder="1" applyAlignment="1" applyProtection="1">
      <alignment horizontal="center"/>
    </xf>
    <xf numFmtId="1" fontId="9" fillId="9" borderId="59" xfId="14" applyNumberFormat="1" applyBorder="1" applyAlignment="1" applyProtection="1">
      <alignment horizontal="center"/>
    </xf>
    <xf numFmtId="164" fontId="9" fillId="9" borderId="62" xfId="14" applyNumberFormat="1" applyBorder="1" applyAlignment="1" applyProtection="1">
      <alignment horizontal="center"/>
    </xf>
    <xf numFmtId="14" fontId="9" fillId="5" borderId="63" xfId="10" applyNumberFormat="1" applyBorder="1" applyAlignment="1" applyProtection="1">
      <alignment horizontal="right"/>
      <protection locked="0"/>
    </xf>
    <xf numFmtId="0" fontId="24" fillId="0" borderId="0" xfId="0" applyFont="1" applyProtection="1"/>
    <xf numFmtId="14" fontId="9" fillId="6" borderId="1" xfId="11" applyNumberFormat="1" applyBorder="1" applyAlignment="1" applyProtection="1"/>
    <xf numFmtId="14" fontId="15" fillId="6" borderId="60" xfId="11" applyNumberFormat="1" applyFont="1" applyBorder="1" applyAlignment="1" applyProtection="1">
      <alignment wrapText="1"/>
    </xf>
    <xf numFmtId="169" fontId="15" fillId="6" borderId="61" xfId="11" applyNumberFormat="1" applyFont="1" applyBorder="1" applyAlignment="1" applyProtection="1">
      <alignment horizontal="center"/>
    </xf>
    <xf numFmtId="168" fontId="15" fillId="6" borderId="61" xfId="11" applyNumberFormat="1" applyFont="1" applyBorder="1" applyAlignment="1" applyProtection="1">
      <alignment horizontal="center"/>
    </xf>
    <xf numFmtId="167" fontId="26" fillId="0" borderId="1" xfId="0" applyNumberFormat="1" applyFont="1" applyFill="1" applyBorder="1" applyAlignment="1" applyProtection="1">
      <alignment horizontal="centerContinuous"/>
    </xf>
    <xf numFmtId="0" fontId="18" fillId="0" borderId="2" xfId="0" applyFont="1" applyFill="1" applyBorder="1" applyAlignment="1" applyProtection="1"/>
    <xf numFmtId="0" fontId="18" fillId="0" borderId="2" xfId="0" applyFont="1" applyFill="1" applyBorder="1" applyProtection="1"/>
    <xf numFmtId="165" fontId="18" fillId="0" borderId="0" xfId="0" applyNumberFormat="1" applyFont="1" applyFill="1" applyProtection="1"/>
    <xf numFmtId="0" fontId="18" fillId="0" borderId="0" xfId="0" applyFont="1" applyFill="1" applyProtection="1"/>
    <xf numFmtId="0" fontId="9" fillId="9" borderId="5" xfId="14" applyBorder="1" applyAlignment="1" applyProtection="1">
      <alignment horizontal="center" wrapText="1"/>
    </xf>
    <xf numFmtId="171" fontId="9" fillId="6" borderId="9" xfId="11" applyNumberFormat="1" applyBorder="1" applyAlignment="1" applyProtection="1">
      <alignment horizontal="right"/>
    </xf>
    <xf numFmtId="1" fontId="9" fillId="5" borderId="10" xfId="10" applyNumberFormat="1" applyBorder="1" applyAlignment="1" applyProtection="1">
      <alignment horizontal="center"/>
      <protection locked="0"/>
    </xf>
    <xf numFmtId="1" fontId="9" fillId="5" borderId="67" xfId="10" applyNumberFormat="1" applyBorder="1" applyAlignment="1" applyProtection="1">
      <alignment horizontal="center"/>
      <protection locked="0"/>
    </xf>
    <xf numFmtId="1" fontId="9" fillId="6" borderId="67" xfId="11" applyNumberFormat="1" applyBorder="1" applyAlignment="1" applyProtection="1">
      <alignment horizontal="center"/>
      <protection hidden="1"/>
    </xf>
    <xf numFmtId="164" fontId="9" fillId="5" borderId="10" xfId="10" applyNumberFormat="1" applyBorder="1" applyAlignment="1" applyProtection="1">
      <alignment horizontal="center"/>
      <protection locked="0"/>
    </xf>
    <xf numFmtId="0" fontId="21" fillId="7" borderId="68" xfId="12" applyFont="1" applyBorder="1" applyAlignment="1" applyProtection="1">
      <alignment horizontal="center"/>
    </xf>
    <xf numFmtId="1" fontId="15" fillId="8" borderId="69" xfId="13" applyNumberFormat="1" applyFont="1" applyBorder="1" applyAlignment="1" applyProtection="1">
      <alignment horizontal="center"/>
    </xf>
    <xf numFmtId="164" fontId="15" fillId="8" borderId="10" xfId="13" applyNumberFormat="1" applyFont="1" applyBorder="1" applyAlignment="1" applyProtection="1">
      <alignment horizontal="center"/>
    </xf>
    <xf numFmtId="164" fontId="15" fillId="8" borderId="69" xfId="13" applyNumberFormat="1" applyFont="1" applyBorder="1" applyAlignment="1" applyProtection="1">
      <alignment horizontal="center"/>
    </xf>
    <xf numFmtId="164" fontId="15" fillId="8" borderId="35" xfId="13" applyNumberFormat="1" applyFont="1" applyBorder="1" applyAlignment="1" applyProtection="1">
      <alignment horizontal="center"/>
    </xf>
    <xf numFmtId="166" fontId="15" fillId="8" borderId="27" xfId="13" applyNumberFormat="1" applyFont="1" applyBorder="1" applyAlignment="1" applyProtection="1">
      <alignment horizontal="center"/>
    </xf>
    <xf numFmtId="0" fontId="9" fillId="5" borderId="34" xfId="18" applyNumberFormat="1">
      <alignment horizontal="center"/>
      <protection locked="0"/>
    </xf>
    <xf numFmtId="1" fontId="9" fillId="5" borderId="34" xfId="18" applyNumberFormat="1">
      <alignment horizontal="center"/>
      <protection locked="0"/>
    </xf>
    <xf numFmtId="0" fontId="9" fillId="5" borderId="34" xfId="18" applyNumberFormat="1" applyAlignment="1">
      <alignment horizontal="left"/>
      <protection locked="0"/>
    </xf>
    <xf numFmtId="14" fontId="9" fillId="5" borderId="34" xfId="18" applyNumberFormat="1" applyAlignment="1">
      <alignment horizontal="right"/>
      <protection locked="0"/>
    </xf>
    <xf numFmtId="14" fontId="9" fillId="6" borderId="7" xfId="19" applyNumberFormat="1" applyAlignment="1">
      <alignment horizontal="right"/>
    </xf>
    <xf numFmtId="0" fontId="18" fillId="7" borderId="9" xfId="20" applyNumberFormat="1" applyBorder="1">
      <alignment horizontal="center" wrapText="1"/>
    </xf>
    <xf numFmtId="1" fontId="18" fillId="7" borderId="9" xfId="20" applyNumberFormat="1" applyBorder="1">
      <alignment horizontal="center" wrapText="1"/>
    </xf>
    <xf numFmtId="0" fontId="18" fillId="7" borderId="32" xfId="20" applyNumberFormat="1" applyBorder="1">
      <alignment horizontal="center" wrapText="1"/>
    </xf>
    <xf numFmtId="0" fontId="6" fillId="0" borderId="0" xfId="0" applyFont="1" applyFill="1" applyBorder="1" applyProtection="1"/>
    <xf numFmtId="14" fontId="5" fillId="0" borderId="0" xfId="0" applyNumberFormat="1" applyFont="1" applyFill="1" applyBorder="1" applyAlignment="1" applyProtection="1"/>
    <xf numFmtId="171" fontId="9" fillId="6" borderId="70" xfId="11" applyNumberFormat="1" applyBorder="1" applyAlignment="1" applyProtection="1">
      <alignment horizontal="right" wrapText="1"/>
    </xf>
    <xf numFmtId="0" fontId="9" fillId="6" borderId="9" xfId="11" applyBorder="1" applyAlignment="1" applyProtection="1">
      <alignment horizontal="center" wrapText="1"/>
    </xf>
    <xf numFmtId="49" fontId="9" fillId="5" borderId="10" xfId="10" applyNumberFormat="1" applyBorder="1" applyAlignment="1" applyProtection="1">
      <alignment horizontal="center"/>
      <protection locked="0"/>
    </xf>
    <xf numFmtId="14" fontId="9" fillId="5" borderId="35" xfId="18" applyNumberFormat="1" applyBorder="1" applyAlignment="1">
      <alignment horizontal="right"/>
      <protection locked="0"/>
    </xf>
    <xf numFmtId="0" fontId="9" fillId="5" borderId="35" xfId="18" applyNumberFormat="1" applyBorder="1" applyAlignment="1">
      <alignment horizontal="left"/>
      <protection locked="0"/>
    </xf>
    <xf numFmtId="0" fontId="9" fillId="5" borderId="35" xfId="18" applyNumberFormat="1" applyBorder="1">
      <alignment horizontal="center"/>
      <protection locked="0"/>
    </xf>
    <xf numFmtId="1" fontId="9" fillId="5" borderId="35" xfId="18" applyNumberFormat="1" applyBorder="1">
      <alignment horizontal="center"/>
      <protection locked="0"/>
    </xf>
    <xf numFmtId="14" fontId="9" fillId="6" borderId="9" xfId="19" applyNumberFormat="1" applyBorder="1" applyAlignment="1">
      <alignment horizontal="right"/>
    </xf>
    <xf numFmtId="0" fontId="20" fillId="0" borderId="0" xfId="0" applyFont="1" applyProtection="1"/>
    <xf numFmtId="49" fontId="9" fillId="0" borderId="0" xfId="10" applyNumberFormat="1" applyFill="1" applyBorder="1" applyAlignment="1" applyProtection="1"/>
    <xf numFmtId="165" fontId="9" fillId="0" borderId="0" xfId="10" applyNumberFormat="1" applyFill="1" applyBorder="1" applyAlignment="1" applyProtection="1"/>
    <xf numFmtId="14" fontId="0" fillId="0" borderId="0" xfId="0" applyNumberFormat="1" applyProtection="1"/>
    <xf numFmtId="0" fontId="19" fillId="0" borderId="0" xfId="0" applyFont="1" applyAlignment="1" applyProtection="1">
      <alignment wrapText="1"/>
    </xf>
    <xf numFmtId="0" fontId="19" fillId="0" borderId="0" xfId="0" applyFont="1" applyBorder="1" applyProtection="1">
      <protection hidden="1"/>
    </xf>
    <xf numFmtId="0" fontId="19" fillId="0" borderId="0" xfId="0" applyFont="1" applyProtection="1"/>
    <xf numFmtId="49" fontId="0" fillId="0" borderId="0" xfId="0" applyNumberFormat="1" applyAlignment="1" applyProtection="1">
      <alignment horizontal="right"/>
    </xf>
    <xf numFmtId="0" fontId="23" fillId="0" borderId="0" xfId="0" applyFont="1" applyProtection="1"/>
    <xf numFmtId="0" fontId="23" fillId="0" borderId="0" xfId="0" applyFont="1" applyFill="1" applyProtection="1"/>
    <xf numFmtId="0" fontId="0" fillId="5" borderId="3" xfId="18" applyNumberFormat="1" applyFont="1" applyBorder="1">
      <alignment horizontal="center"/>
      <protection locked="0"/>
    </xf>
    <xf numFmtId="164" fontId="15" fillId="8" borderId="12" xfId="13" applyNumberFormat="1" applyFont="1" applyBorder="1" applyAlignment="1" applyProtection="1">
      <alignment horizontal="center"/>
    </xf>
    <xf numFmtId="164" fontId="15" fillId="9" borderId="7" xfId="14" applyNumberFormat="1" applyFont="1" applyBorder="1" applyAlignment="1" applyProtection="1">
      <alignment horizontal="center"/>
    </xf>
    <xf numFmtId="164" fontId="15" fillId="9" borderId="54" xfId="14" applyNumberFormat="1" applyFont="1" applyBorder="1" applyAlignment="1" applyProtection="1">
      <alignment horizontal="center"/>
    </xf>
    <xf numFmtId="164" fontId="15" fillId="9" borderId="55" xfId="14" applyNumberFormat="1" applyFont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  <protection hidden="1"/>
    </xf>
    <xf numFmtId="0" fontId="20" fillId="0" borderId="0" xfId="0" applyNumberFormat="1" applyFont="1" applyFill="1" applyAlignment="1" applyProtection="1">
      <alignment horizontal="center"/>
      <protection hidden="1"/>
    </xf>
    <xf numFmtId="0" fontId="18" fillId="0" borderId="0" xfId="0" applyFont="1"/>
    <xf numFmtId="164" fontId="19" fillId="0" borderId="0" xfId="0" applyNumberFormat="1" applyFont="1" applyAlignment="1" applyProtection="1">
      <alignment wrapText="1"/>
      <protection hidden="1"/>
    </xf>
    <xf numFmtId="164" fontId="19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164" fontId="20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0" fontId="0" fillId="5" borderId="34" xfId="18" applyNumberFormat="1" applyFont="1" applyAlignment="1">
      <alignment horizontal="left"/>
      <protection locked="0"/>
    </xf>
    <xf numFmtId="0" fontId="0" fillId="5" borderId="34" xfId="18" applyNumberFormat="1" applyFont="1">
      <alignment horizontal="center"/>
      <protection locked="0"/>
    </xf>
    <xf numFmtId="0" fontId="18" fillId="0" borderId="0" xfId="0" applyFont="1" applyFill="1" applyBorder="1" applyProtection="1"/>
    <xf numFmtId="0" fontId="20" fillId="0" borderId="0" xfId="0" applyFont="1" applyFill="1" applyProtection="1"/>
    <xf numFmtId="0" fontId="20" fillId="0" borderId="0" xfId="0" applyFont="1" applyFill="1" applyBorder="1" applyProtection="1"/>
    <xf numFmtId="1" fontId="20" fillId="0" borderId="0" xfId="0" applyNumberFormat="1" applyFont="1" applyFill="1" applyProtection="1"/>
    <xf numFmtId="2" fontId="20" fillId="0" borderId="0" xfId="0" applyNumberFormat="1" applyFont="1" applyFill="1" applyProtection="1"/>
    <xf numFmtId="1" fontId="20" fillId="0" borderId="0" xfId="0" applyNumberFormat="1" applyFont="1" applyFill="1" applyBorder="1" applyProtection="1"/>
    <xf numFmtId="164" fontId="20" fillId="0" borderId="0" xfId="0" applyNumberFormat="1" applyFont="1" applyProtection="1"/>
    <xf numFmtId="14" fontId="20" fillId="0" borderId="0" xfId="0" applyNumberFormat="1" applyFont="1" applyProtection="1"/>
    <xf numFmtId="1" fontId="18" fillId="0" borderId="0" xfId="0" applyNumberFormat="1" applyFont="1" applyProtection="1"/>
    <xf numFmtId="2" fontId="18" fillId="0" borderId="0" xfId="0" applyNumberFormat="1" applyFont="1" applyProtection="1"/>
    <xf numFmtId="0" fontId="27" fillId="0" borderId="0" xfId="21"/>
    <xf numFmtId="0" fontId="28" fillId="0" borderId="0" xfId="0" applyFont="1"/>
    <xf numFmtId="0" fontId="29" fillId="0" borderId="0" xfId="0" applyFont="1"/>
    <xf numFmtId="0" fontId="0" fillId="0" borderId="0" xfId="0" applyFont="1"/>
    <xf numFmtId="49" fontId="0" fillId="5" borderId="1" xfId="10" applyNumberFormat="1" applyFont="1" applyBorder="1" applyAlignment="1" applyProtection="1">
      <alignment horizontal="center"/>
      <protection locked="0"/>
    </xf>
    <xf numFmtId="49" fontId="9" fillId="5" borderId="3" xfId="10" applyNumberFormat="1" applyBorder="1" applyAlignment="1" applyProtection="1">
      <alignment horizontal="center"/>
      <protection locked="0"/>
    </xf>
    <xf numFmtId="49" fontId="9" fillId="5" borderId="2" xfId="10" applyNumberFormat="1" applyBorder="1" applyAlignment="1" applyProtection="1">
      <alignment horizontal="center"/>
      <protection locked="0"/>
    </xf>
    <xf numFmtId="0" fontId="25" fillId="0" borderId="0" xfId="9" applyFont="1" applyAlignment="1" applyProtection="1">
      <alignment horizontal="center"/>
    </xf>
    <xf numFmtId="49" fontId="0" fillId="5" borderId="3" xfId="10" applyNumberFormat="1" applyFont="1" applyBorder="1" applyAlignment="1" applyProtection="1">
      <alignment horizontal="center"/>
      <protection locked="0"/>
    </xf>
    <xf numFmtId="49" fontId="0" fillId="5" borderId="2" xfId="10" applyNumberFormat="1" applyFont="1" applyBorder="1" applyAlignment="1" applyProtection="1">
      <alignment horizontal="center"/>
      <protection locked="0"/>
    </xf>
    <xf numFmtId="166" fontId="18" fillId="7" borderId="4" xfId="12" applyNumberFormat="1" applyBorder="1" applyAlignment="1" applyProtection="1">
      <alignment horizontal="center" wrapText="1"/>
    </xf>
    <xf numFmtId="164" fontId="18" fillId="7" borderId="4" xfId="12" applyNumberFormat="1" applyBorder="1" applyAlignment="1" applyProtection="1">
      <alignment horizontal="center" wrapText="1"/>
    </xf>
    <xf numFmtId="0" fontId="18" fillId="7" borderId="4" xfId="12" applyBorder="1" applyAlignment="1" applyProtection="1">
      <alignment horizontal="center" wrapText="1"/>
    </xf>
    <xf numFmtId="164" fontId="18" fillId="10" borderId="4" xfId="15" applyNumberFormat="1" applyBorder="1" applyAlignment="1" applyProtection="1">
      <alignment horizontal="center"/>
    </xf>
    <xf numFmtId="49" fontId="0" fillId="6" borderId="31" xfId="11" applyNumberFormat="1" applyFont="1" applyBorder="1" applyAlignment="1" applyProtection="1">
      <alignment horizontal="center"/>
    </xf>
    <xf numFmtId="0" fontId="9" fillId="6" borderId="0" xfId="11" applyNumberFormat="1" applyBorder="1" applyAlignment="1" applyProtection="1">
      <alignment horizontal="center"/>
    </xf>
    <xf numFmtId="14" fontId="9" fillId="6" borderId="1" xfId="11" applyNumberFormat="1" applyBorder="1" applyAlignment="1" applyProtection="1"/>
    <xf numFmtId="14" fontId="9" fillId="6" borderId="3" xfId="11" applyNumberFormat="1" applyBorder="1" applyAlignment="1" applyProtection="1"/>
    <xf numFmtId="165" fontId="9" fillId="6" borderId="1" xfId="11" applyNumberFormat="1" applyBorder="1" applyAlignment="1" applyProtection="1">
      <alignment horizontal="right"/>
    </xf>
    <xf numFmtId="165" fontId="9" fillId="6" borderId="3" xfId="11" applyNumberFormat="1" applyBorder="1" applyAlignment="1" applyProtection="1">
      <alignment horizontal="right"/>
    </xf>
    <xf numFmtId="165" fontId="9" fillId="6" borderId="2" xfId="11" applyNumberFormat="1" applyBorder="1" applyAlignment="1" applyProtection="1">
      <alignment horizontal="right"/>
    </xf>
    <xf numFmtId="165" fontId="18" fillId="7" borderId="4" xfId="12" applyNumberFormat="1" applyBorder="1" applyAlignment="1" applyProtection="1">
      <alignment horizontal="center" wrapText="1"/>
    </xf>
    <xf numFmtId="0" fontId="18" fillId="10" borderId="4" xfId="15" applyBorder="1" applyAlignment="1" applyProtection="1">
      <alignment horizontal="center"/>
    </xf>
    <xf numFmtId="165" fontId="9" fillId="6" borderId="1" xfId="11" applyNumberFormat="1" applyBorder="1" applyAlignment="1" applyProtection="1">
      <alignment horizontal="left"/>
    </xf>
    <xf numFmtId="165" fontId="9" fillId="6" borderId="3" xfId="11" applyNumberFormat="1" applyBorder="1" applyAlignment="1" applyProtection="1">
      <alignment horizontal="left"/>
    </xf>
    <xf numFmtId="165" fontId="9" fillId="6" borderId="1" xfId="11" applyNumberFormat="1" applyBorder="1" applyAlignment="1" applyProtection="1">
      <alignment horizontal="center"/>
    </xf>
    <xf numFmtId="165" fontId="9" fillId="6" borderId="3" xfId="11" applyNumberFormat="1" applyBorder="1" applyAlignment="1" applyProtection="1">
      <alignment horizontal="center"/>
    </xf>
    <xf numFmtId="165" fontId="9" fillId="6" borderId="2" xfId="11" applyNumberFormat="1" applyBorder="1" applyAlignment="1" applyProtection="1">
      <alignment horizontal="center"/>
    </xf>
    <xf numFmtId="0" fontId="18" fillId="12" borderId="47" xfId="17" applyBorder="1" applyAlignment="1" applyProtection="1">
      <alignment horizontal="center"/>
    </xf>
    <xf numFmtId="0" fontId="18" fillId="12" borderId="48" xfId="17" applyBorder="1" applyAlignment="1" applyProtection="1">
      <alignment horizontal="center"/>
    </xf>
    <xf numFmtId="0" fontId="18" fillId="12" borderId="49" xfId="17" applyBorder="1" applyAlignment="1" applyProtection="1">
      <alignment horizontal="center"/>
    </xf>
    <xf numFmtId="0" fontId="21" fillId="7" borderId="29" xfId="12" applyFont="1" applyBorder="1" applyAlignment="1" applyProtection="1">
      <alignment horizontal="center"/>
    </xf>
    <xf numFmtId="0" fontId="21" fillId="7" borderId="37" xfId="12" applyFont="1" applyBorder="1" applyAlignment="1" applyProtection="1">
      <alignment horizontal="center"/>
    </xf>
    <xf numFmtId="164" fontId="21" fillId="7" borderId="29" xfId="12" applyNumberFormat="1" applyFont="1" applyBorder="1" applyAlignment="1" applyProtection="1">
      <alignment horizontal="center"/>
    </xf>
    <xf numFmtId="164" fontId="21" fillId="7" borderId="36" xfId="12" applyNumberFormat="1" applyFont="1" applyBorder="1" applyAlignment="1" applyProtection="1">
      <alignment horizontal="center"/>
    </xf>
    <xf numFmtId="164" fontId="21" fillId="7" borderId="37" xfId="12" applyNumberFormat="1" applyFont="1" applyBorder="1" applyAlignment="1" applyProtection="1">
      <alignment horizontal="center"/>
    </xf>
    <xf numFmtId="14" fontId="9" fillId="6" borderId="3" xfId="11" applyNumberFormat="1" applyBorder="1" applyAlignment="1" applyProtection="1">
      <alignment horizontal="right"/>
    </xf>
    <xf numFmtId="1" fontId="9" fillId="6" borderId="1" xfId="11" applyNumberFormat="1" applyBorder="1" applyAlignment="1" applyProtection="1">
      <alignment horizontal="right"/>
    </xf>
    <xf numFmtId="1" fontId="9" fillId="6" borderId="2" xfId="11" applyNumberFormat="1" applyBorder="1" applyAlignment="1" applyProtection="1">
      <alignment horizontal="right"/>
    </xf>
    <xf numFmtId="165" fontId="21" fillId="7" borderId="29" xfId="12" applyNumberFormat="1" applyFont="1" applyBorder="1" applyAlignment="1" applyProtection="1">
      <alignment horizontal="center"/>
    </xf>
    <xf numFmtId="165" fontId="21" fillId="7" borderId="36" xfId="12" applyNumberFormat="1" applyFont="1" applyBorder="1" applyAlignment="1" applyProtection="1">
      <alignment horizontal="center"/>
    </xf>
    <xf numFmtId="165" fontId="21" fillId="7" borderId="37" xfId="12" applyNumberFormat="1" applyFont="1" applyBorder="1" applyAlignment="1" applyProtection="1">
      <alignment horizontal="center"/>
    </xf>
    <xf numFmtId="0" fontId="21" fillId="7" borderId="36" xfId="12" applyFont="1" applyBorder="1" applyAlignment="1" applyProtection="1">
      <alignment horizontal="center"/>
    </xf>
    <xf numFmtId="0" fontId="18" fillId="7" borderId="4" xfId="20" applyNumberFormat="1" applyBorder="1">
      <alignment horizontal="center" wrapText="1"/>
    </xf>
    <xf numFmtId="1" fontId="18" fillId="7" borderId="4" xfId="20" applyNumberFormat="1" applyBorder="1">
      <alignment horizontal="center" wrapText="1"/>
    </xf>
    <xf numFmtId="171" fontId="18" fillId="7" borderId="4" xfId="20" applyNumberFormat="1">
      <alignment horizontal="center" wrapText="1"/>
    </xf>
    <xf numFmtId="0" fontId="18" fillId="7" borderId="4" xfId="20" applyNumberFormat="1">
      <alignment horizontal="center" wrapText="1"/>
    </xf>
    <xf numFmtId="165" fontId="9" fillId="6" borderId="64" xfId="11" applyNumberFormat="1" applyBorder="1" applyAlignment="1" applyProtection="1">
      <alignment horizontal="center"/>
    </xf>
    <xf numFmtId="165" fontId="9" fillId="6" borderId="56" xfId="11" applyNumberFormat="1" applyBorder="1" applyAlignment="1" applyProtection="1">
      <alignment horizontal="center"/>
    </xf>
  </cellXfs>
  <cellStyles count="22">
    <cellStyle name="20 % - Aksentti1" xfId="10" builtinId="30"/>
    <cellStyle name="20 % - Aksentti3 2" xfId="4" xr:uid="{00000000-0005-0000-0000-000001000000}"/>
    <cellStyle name="20 % - Aksentti5" xfId="16" builtinId="46"/>
    <cellStyle name="40 % - Aksentti1" xfId="11" builtinId="31"/>
    <cellStyle name="40 % - Aksentti5" xfId="13" builtinId="47"/>
    <cellStyle name="40 % - Aksentti6" xfId="14" builtinId="51"/>
    <cellStyle name="60 % - Aksentti5" xfId="17" builtinId="48"/>
    <cellStyle name="Aksentti1" xfId="15" builtinId="29"/>
    <cellStyle name="Aksentti5" xfId="12" builtinId="45"/>
    <cellStyle name="Hyperlinkki" xfId="21" builtinId="8"/>
    <cellStyle name="Laskenta 2" xfId="6" xr:uid="{00000000-0005-0000-0000-00000A000000}"/>
    <cellStyle name="Lukittu" xfId="19" xr:uid="{00000000-0005-0000-0000-00000B000000}"/>
    <cellStyle name="Muokattava" xfId="18" xr:uid="{00000000-0005-0000-0000-00000C000000}"/>
    <cellStyle name="Normaali" xfId="0" builtinId="0"/>
    <cellStyle name="Normaali 2" xfId="1" xr:uid="{00000000-0005-0000-0000-00000E000000}"/>
    <cellStyle name="Normaali 3" xfId="2" xr:uid="{00000000-0005-0000-0000-00000F000000}"/>
    <cellStyle name="Normaali 4" xfId="7" xr:uid="{00000000-0005-0000-0000-000010000000}"/>
    <cellStyle name="Otsikko" xfId="9" builtinId="15"/>
    <cellStyle name="Otsikko taul" xfId="20" xr:uid="{00000000-0005-0000-0000-000012000000}"/>
    <cellStyle name="Syöttö 2" xfId="5" xr:uid="{00000000-0005-0000-0000-000013000000}"/>
    <cellStyle name="Valuutta 2" xfId="3" xr:uid="{00000000-0005-0000-0000-000014000000}"/>
    <cellStyle name="Valuutta 3" xfId="8" xr:uid="{00000000-0005-0000-0000-000015000000}"/>
  </cellStyles>
  <dxfs count="1">
    <dxf>
      <font>
        <color theme="9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chartsheet" Target="chart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1"/>
          <c:order val="2"/>
          <c:tx>
            <c:strRef>
              <c:f>'kasv-INFO'!$M$10</c:f>
              <c:strCache>
                <c:ptCount val="1"/>
                <c:pt idx="0">
                  <c:v>STD MIN paino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'kasv-INFO'!$B$11:$B$35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'kasv-INFO'!$M$11:$M$35</c:f>
              <c:numCache>
                <c:formatCode>General</c:formatCode>
                <c:ptCount val="25"/>
                <c:pt idx="0">
                  <c:v>73</c:v>
                </c:pt>
                <c:pt idx="1">
                  <c:v>121</c:v>
                </c:pt>
                <c:pt idx="2">
                  <c:v>181</c:v>
                </c:pt>
                <c:pt idx="3">
                  <c:v>249</c:v>
                </c:pt>
                <c:pt idx="4">
                  <c:v>327</c:v>
                </c:pt>
                <c:pt idx="5">
                  <c:v>416</c:v>
                </c:pt>
                <c:pt idx="6">
                  <c:v>513</c:v>
                </c:pt>
                <c:pt idx="7">
                  <c:v>605</c:v>
                </c:pt>
                <c:pt idx="8">
                  <c:v>697</c:v>
                </c:pt>
                <c:pt idx="9">
                  <c:v>785</c:v>
                </c:pt>
                <c:pt idx="10">
                  <c:v>860</c:v>
                </c:pt>
                <c:pt idx="11">
                  <c:v>928</c:v>
                </c:pt>
                <c:pt idx="12">
                  <c:v>986</c:v>
                </c:pt>
                <c:pt idx="13">
                  <c:v>1040</c:v>
                </c:pt>
                <c:pt idx="14">
                  <c:v>1088</c:v>
                </c:pt>
                <c:pt idx="15">
                  <c:v>1132</c:v>
                </c:pt>
                <c:pt idx="16">
                  <c:v>1178</c:v>
                </c:pt>
                <c:pt idx="17">
                  <c:v>1226</c:v>
                </c:pt>
                <c:pt idx="18">
                  <c:v>1282</c:v>
                </c:pt>
                <c:pt idx="19">
                  <c:v>1344</c:v>
                </c:pt>
                <c:pt idx="20">
                  <c:v>1407</c:v>
                </c:pt>
                <c:pt idx="21">
                  <c:v>1455</c:v>
                </c:pt>
                <c:pt idx="22">
                  <c:v>1494</c:v>
                </c:pt>
                <c:pt idx="23">
                  <c:v>1533</c:v>
                </c:pt>
                <c:pt idx="24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6-472A-B40E-C924F1ECD94D}"/>
            </c:ext>
          </c:extLst>
        </c:ser>
        <c:ser>
          <c:idx val="0"/>
          <c:order val="3"/>
          <c:tx>
            <c:strRef>
              <c:f>'kasv-INFO'!$P$10</c:f>
              <c:strCache>
                <c:ptCount val="1"/>
                <c:pt idx="0">
                  <c:v>Ero</c:v>
                </c:pt>
              </c:strCache>
            </c:strRef>
          </c:tx>
          <c:spPr>
            <a:solidFill>
              <a:schemeClr val="accent5">
                <a:alpha val="30000"/>
              </a:schemeClr>
            </a:solidFill>
            <a:ln>
              <a:noFill/>
            </a:ln>
            <a:effectLst/>
          </c:spPr>
          <c:cat>
            <c:numRef>
              <c:f>'kasv-INFO'!$B$11:$B$35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'kasv-INFO'!$P$11:$P$35</c:f>
              <c:numCache>
                <c:formatCode>General</c:formatCode>
                <c:ptCount val="25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16</c:v>
                </c:pt>
                <c:pt idx="4">
                  <c:v>20</c:v>
                </c:pt>
                <c:pt idx="5">
                  <c:v>26</c:v>
                </c:pt>
                <c:pt idx="6">
                  <c:v>32</c:v>
                </c:pt>
                <c:pt idx="7">
                  <c:v>38</c:v>
                </c:pt>
                <c:pt idx="8">
                  <c:v>44</c:v>
                </c:pt>
                <c:pt idx="9">
                  <c:v>48</c:v>
                </c:pt>
                <c:pt idx="10">
                  <c:v>54</c:v>
                </c:pt>
                <c:pt idx="11">
                  <c:v>58</c:v>
                </c:pt>
                <c:pt idx="12">
                  <c:v>62</c:v>
                </c:pt>
                <c:pt idx="13">
                  <c:v>64</c:v>
                </c:pt>
                <c:pt idx="14">
                  <c:v>68</c:v>
                </c:pt>
                <c:pt idx="15">
                  <c:v>70</c:v>
                </c:pt>
                <c:pt idx="16">
                  <c:v>72</c:v>
                </c:pt>
                <c:pt idx="17">
                  <c:v>76</c:v>
                </c:pt>
                <c:pt idx="18">
                  <c:v>80</c:v>
                </c:pt>
                <c:pt idx="19">
                  <c:v>84</c:v>
                </c:pt>
                <c:pt idx="20">
                  <c:v>87</c:v>
                </c:pt>
                <c:pt idx="21">
                  <c:v>90</c:v>
                </c:pt>
                <c:pt idx="22">
                  <c:v>92</c:v>
                </c:pt>
                <c:pt idx="23">
                  <c:v>94</c:v>
                </c:pt>
                <c:pt idx="2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6-472A-B40E-C924F1ECD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578768"/>
        <c:axId val="553581064"/>
      </c:areaChart>
      <c:lineChart>
        <c:grouping val="standard"/>
        <c:varyColors val="0"/>
        <c:ser>
          <c:idx val="2"/>
          <c:order val="0"/>
          <c:tx>
            <c:strRef>
              <c:f>'kasv-INFO'!$F$10</c:f>
              <c:strCache>
                <c:ptCount val="1"/>
                <c:pt idx="0">
                  <c:v>tot. kanan paino (g)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'kasv-INFO'!$F$11:$F$35</c:f>
              <c:numCache>
                <c:formatCode>[=0]\ ;0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66-472A-B40E-C924F1ECD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578768"/>
        <c:axId val="553581064"/>
      </c:lineChart>
      <c:lineChart>
        <c:grouping val="standard"/>
        <c:varyColors val="0"/>
        <c:ser>
          <c:idx val="3"/>
          <c:order val="1"/>
          <c:tx>
            <c:strRef>
              <c:f>'kasv-INFO'!$D$10</c:f>
              <c:strCache>
                <c:ptCount val="1"/>
                <c:pt idx="0">
                  <c:v>kuolleisuus (%)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'kasv-INFO'!$D$11:$D$35</c:f>
              <c:numCache>
                <c:formatCode>[=0]\ ;0.00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66-472A-B40E-C924F1ECD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747248"/>
        <c:axId val="554746592"/>
      </c:lineChart>
      <c:catAx>
        <c:axId val="55357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ikä viikkoina</a:t>
                </a:r>
              </a:p>
            </c:rich>
          </c:tx>
          <c:layout>
            <c:manualLayout>
              <c:xMode val="edge"/>
              <c:yMode val="edge"/>
              <c:x val="0.89716923518477698"/>
              <c:y val="0.899455021444627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53581064"/>
        <c:crosses val="autoZero"/>
        <c:auto val="1"/>
        <c:lblAlgn val="ctr"/>
        <c:lblOffset val="100"/>
        <c:tickLblSkip val="2"/>
        <c:noMultiLvlLbl val="0"/>
      </c:catAx>
      <c:valAx>
        <c:axId val="55358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53578768"/>
        <c:crosses val="autoZero"/>
        <c:crossBetween val="midCat"/>
      </c:valAx>
      <c:valAx>
        <c:axId val="55474659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54747248"/>
        <c:crosses val="max"/>
        <c:crossBetween val="between"/>
      </c:valAx>
      <c:catAx>
        <c:axId val="554747248"/>
        <c:scaling>
          <c:orientation val="minMax"/>
        </c:scaling>
        <c:delete val="1"/>
        <c:axPos val="b"/>
        <c:majorTickMark val="out"/>
        <c:minorTickMark val="none"/>
        <c:tickLblPos val="nextTo"/>
        <c:crossAx val="554746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35715057950196361"/>
          <c:y val="0.9019749935905701"/>
          <c:w val="0.28569884099607273"/>
          <c:h val="3.5289160381967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1"/>
    <c:plotArea>
      <c:layout/>
      <c:areaChart>
        <c:grouping val="stacked"/>
        <c:varyColors val="0"/>
        <c:ser>
          <c:idx val="5"/>
          <c:order val="4"/>
          <c:tx>
            <c:strRef>
              <c:f>'tuot-PVÄ'!$AB$2</c:f>
              <c:strCache>
                <c:ptCount val="1"/>
                <c:pt idx="0">
                  <c:v>STD kana A</c:v>
                </c:pt>
              </c:strCache>
            </c:strRef>
          </c:tx>
          <c:spPr>
            <a:noFill/>
            <a:ln>
              <a:noFill/>
            </a:ln>
            <a:effectLst/>
          </c:spPr>
          <c:val>
            <c:numRef>
              <c:f>'tuot-PVÄ'!$AB$3:$AB$500</c:f>
              <c:numCache>
                <c:formatCode>General</c:formatCode>
                <c:ptCount val="498"/>
                <c:pt idx="0">
                  <c:v>1178</c:v>
                </c:pt>
                <c:pt idx="1">
                  <c:v>1226</c:v>
                </c:pt>
                <c:pt idx="2">
                  <c:v>1226</c:v>
                </c:pt>
                <c:pt idx="3">
                  <c:v>1226</c:v>
                </c:pt>
                <c:pt idx="4">
                  <c:v>1226</c:v>
                </c:pt>
                <c:pt idx="5">
                  <c:v>1226</c:v>
                </c:pt>
                <c:pt idx="6">
                  <c:v>1226</c:v>
                </c:pt>
                <c:pt idx="7">
                  <c:v>1226</c:v>
                </c:pt>
                <c:pt idx="8">
                  <c:v>1282</c:v>
                </c:pt>
                <c:pt idx="9">
                  <c:v>1282</c:v>
                </c:pt>
                <c:pt idx="10">
                  <c:v>1282</c:v>
                </c:pt>
                <c:pt idx="11">
                  <c:v>1282</c:v>
                </c:pt>
                <c:pt idx="12">
                  <c:v>1282</c:v>
                </c:pt>
                <c:pt idx="13">
                  <c:v>1282</c:v>
                </c:pt>
                <c:pt idx="14">
                  <c:v>1282</c:v>
                </c:pt>
                <c:pt idx="15">
                  <c:v>1344</c:v>
                </c:pt>
                <c:pt idx="16">
                  <c:v>1344</c:v>
                </c:pt>
                <c:pt idx="17">
                  <c:v>1344</c:v>
                </c:pt>
                <c:pt idx="18">
                  <c:v>1344</c:v>
                </c:pt>
                <c:pt idx="19">
                  <c:v>1344</c:v>
                </c:pt>
                <c:pt idx="20">
                  <c:v>1344</c:v>
                </c:pt>
                <c:pt idx="21">
                  <c:v>1344</c:v>
                </c:pt>
                <c:pt idx="22">
                  <c:v>1407</c:v>
                </c:pt>
                <c:pt idx="23">
                  <c:v>1407</c:v>
                </c:pt>
                <c:pt idx="24">
                  <c:v>1407</c:v>
                </c:pt>
                <c:pt idx="25">
                  <c:v>1407</c:v>
                </c:pt>
                <c:pt idx="26">
                  <c:v>1407</c:v>
                </c:pt>
                <c:pt idx="27">
                  <c:v>1407</c:v>
                </c:pt>
                <c:pt idx="28">
                  <c:v>1407</c:v>
                </c:pt>
                <c:pt idx="29">
                  <c:v>1455</c:v>
                </c:pt>
                <c:pt idx="30">
                  <c:v>1455</c:v>
                </c:pt>
                <c:pt idx="31">
                  <c:v>1455</c:v>
                </c:pt>
                <c:pt idx="32">
                  <c:v>1455</c:v>
                </c:pt>
                <c:pt idx="33">
                  <c:v>1455</c:v>
                </c:pt>
                <c:pt idx="34">
                  <c:v>1455</c:v>
                </c:pt>
                <c:pt idx="35">
                  <c:v>1455</c:v>
                </c:pt>
                <c:pt idx="36">
                  <c:v>1494</c:v>
                </c:pt>
                <c:pt idx="37">
                  <c:v>1494</c:v>
                </c:pt>
                <c:pt idx="38">
                  <c:v>1494</c:v>
                </c:pt>
                <c:pt idx="39">
                  <c:v>1494</c:v>
                </c:pt>
                <c:pt idx="40">
                  <c:v>1494</c:v>
                </c:pt>
                <c:pt idx="41">
                  <c:v>1494</c:v>
                </c:pt>
                <c:pt idx="42">
                  <c:v>1494</c:v>
                </c:pt>
                <c:pt idx="43">
                  <c:v>1533</c:v>
                </c:pt>
                <c:pt idx="44">
                  <c:v>1533</c:v>
                </c:pt>
                <c:pt idx="45">
                  <c:v>1533</c:v>
                </c:pt>
                <c:pt idx="46">
                  <c:v>1533</c:v>
                </c:pt>
                <c:pt idx="47">
                  <c:v>1533</c:v>
                </c:pt>
                <c:pt idx="48">
                  <c:v>1533</c:v>
                </c:pt>
                <c:pt idx="49">
                  <c:v>1533</c:v>
                </c:pt>
                <c:pt idx="50">
                  <c:v>1562</c:v>
                </c:pt>
                <c:pt idx="51">
                  <c:v>1562</c:v>
                </c:pt>
                <c:pt idx="52">
                  <c:v>1562</c:v>
                </c:pt>
                <c:pt idx="53">
                  <c:v>1562</c:v>
                </c:pt>
                <c:pt idx="54">
                  <c:v>1562</c:v>
                </c:pt>
                <c:pt idx="55">
                  <c:v>1562</c:v>
                </c:pt>
                <c:pt idx="56">
                  <c:v>1562</c:v>
                </c:pt>
                <c:pt idx="57">
                  <c:v>1584</c:v>
                </c:pt>
                <c:pt idx="58">
                  <c:v>1584</c:v>
                </c:pt>
                <c:pt idx="59">
                  <c:v>1584</c:v>
                </c:pt>
                <c:pt idx="60">
                  <c:v>1584</c:v>
                </c:pt>
                <c:pt idx="61">
                  <c:v>1584</c:v>
                </c:pt>
                <c:pt idx="62">
                  <c:v>1584</c:v>
                </c:pt>
                <c:pt idx="63">
                  <c:v>1584</c:v>
                </c:pt>
                <c:pt idx="64">
                  <c:v>1601</c:v>
                </c:pt>
                <c:pt idx="65">
                  <c:v>1601</c:v>
                </c:pt>
                <c:pt idx="66">
                  <c:v>1601</c:v>
                </c:pt>
                <c:pt idx="67">
                  <c:v>1601</c:v>
                </c:pt>
                <c:pt idx="68">
                  <c:v>1601</c:v>
                </c:pt>
                <c:pt idx="69">
                  <c:v>1601</c:v>
                </c:pt>
                <c:pt idx="70">
                  <c:v>1601</c:v>
                </c:pt>
                <c:pt idx="71">
                  <c:v>1620</c:v>
                </c:pt>
                <c:pt idx="72">
                  <c:v>1620</c:v>
                </c:pt>
                <c:pt idx="73">
                  <c:v>1620</c:v>
                </c:pt>
                <c:pt idx="74">
                  <c:v>1620</c:v>
                </c:pt>
                <c:pt idx="75">
                  <c:v>1620</c:v>
                </c:pt>
                <c:pt idx="76">
                  <c:v>1620</c:v>
                </c:pt>
                <c:pt idx="77">
                  <c:v>1620</c:v>
                </c:pt>
                <c:pt idx="78">
                  <c:v>1639</c:v>
                </c:pt>
                <c:pt idx="79">
                  <c:v>1639</c:v>
                </c:pt>
                <c:pt idx="80">
                  <c:v>1639</c:v>
                </c:pt>
                <c:pt idx="81">
                  <c:v>1639</c:v>
                </c:pt>
                <c:pt idx="82">
                  <c:v>1639</c:v>
                </c:pt>
                <c:pt idx="83">
                  <c:v>1639</c:v>
                </c:pt>
                <c:pt idx="84">
                  <c:v>1639</c:v>
                </c:pt>
                <c:pt idx="85">
                  <c:v>1649</c:v>
                </c:pt>
                <c:pt idx="86">
                  <c:v>1649</c:v>
                </c:pt>
                <c:pt idx="87">
                  <c:v>1649</c:v>
                </c:pt>
                <c:pt idx="88">
                  <c:v>1649</c:v>
                </c:pt>
                <c:pt idx="89">
                  <c:v>1649</c:v>
                </c:pt>
                <c:pt idx="90">
                  <c:v>1649</c:v>
                </c:pt>
                <c:pt idx="91">
                  <c:v>1649</c:v>
                </c:pt>
                <c:pt idx="92">
                  <c:v>1654</c:v>
                </c:pt>
                <c:pt idx="93">
                  <c:v>1654</c:v>
                </c:pt>
                <c:pt idx="94">
                  <c:v>1654</c:v>
                </c:pt>
                <c:pt idx="95">
                  <c:v>1654</c:v>
                </c:pt>
                <c:pt idx="96">
                  <c:v>1654</c:v>
                </c:pt>
                <c:pt idx="97">
                  <c:v>1654</c:v>
                </c:pt>
                <c:pt idx="98">
                  <c:v>1654</c:v>
                </c:pt>
                <c:pt idx="99">
                  <c:v>1659</c:v>
                </c:pt>
                <c:pt idx="100">
                  <c:v>1659</c:v>
                </c:pt>
                <c:pt idx="101">
                  <c:v>1659</c:v>
                </c:pt>
                <c:pt idx="102">
                  <c:v>1659</c:v>
                </c:pt>
                <c:pt idx="103">
                  <c:v>1659</c:v>
                </c:pt>
                <c:pt idx="104">
                  <c:v>1659</c:v>
                </c:pt>
                <c:pt idx="105">
                  <c:v>1659</c:v>
                </c:pt>
                <c:pt idx="106">
                  <c:v>1661</c:v>
                </c:pt>
                <c:pt idx="107">
                  <c:v>1661</c:v>
                </c:pt>
                <c:pt idx="108">
                  <c:v>1661</c:v>
                </c:pt>
                <c:pt idx="109">
                  <c:v>1661</c:v>
                </c:pt>
                <c:pt idx="110">
                  <c:v>1661</c:v>
                </c:pt>
                <c:pt idx="111">
                  <c:v>1661</c:v>
                </c:pt>
                <c:pt idx="112">
                  <c:v>1661</c:v>
                </c:pt>
                <c:pt idx="113">
                  <c:v>1664</c:v>
                </c:pt>
                <c:pt idx="114">
                  <c:v>1664</c:v>
                </c:pt>
                <c:pt idx="115">
                  <c:v>1664</c:v>
                </c:pt>
                <c:pt idx="116">
                  <c:v>1664</c:v>
                </c:pt>
                <c:pt idx="117">
                  <c:v>1664</c:v>
                </c:pt>
                <c:pt idx="118">
                  <c:v>1664</c:v>
                </c:pt>
                <c:pt idx="119">
                  <c:v>1664</c:v>
                </c:pt>
                <c:pt idx="120">
                  <c:v>1666</c:v>
                </c:pt>
                <c:pt idx="121">
                  <c:v>1666</c:v>
                </c:pt>
                <c:pt idx="122">
                  <c:v>1666</c:v>
                </c:pt>
                <c:pt idx="123">
                  <c:v>1666</c:v>
                </c:pt>
                <c:pt idx="124">
                  <c:v>1666</c:v>
                </c:pt>
                <c:pt idx="125">
                  <c:v>1666</c:v>
                </c:pt>
                <c:pt idx="126">
                  <c:v>1666</c:v>
                </c:pt>
                <c:pt idx="127">
                  <c:v>1668</c:v>
                </c:pt>
                <c:pt idx="128">
                  <c:v>1668</c:v>
                </c:pt>
                <c:pt idx="129">
                  <c:v>1668</c:v>
                </c:pt>
                <c:pt idx="130">
                  <c:v>1668</c:v>
                </c:pt>
                <c:pt idx="131">
                  <c:v>1668</c:v>
                </c:pt>
                <c:pt idx="132">
                  <c:v>1668</c:v>
                </c:pt>
                <c:pt idx="133">
                  <c:v>1668</c:v>
                </c:pt>
                <c:pt idx="134">
                  <c:v>1671</c:v>
                </c:pt>
                <c:pt idx="135">
                  <c:v>1671</c:v>
                </c:pt>
                <c:pt idx="136">
                  <c:v>1671</c:v>
                </c:pt>
                <c:pt idx="137">
                  <c:v>1671</c:v>
                </c:pt>
                <c:pt idx="138">
                  <c:v>1671</c:v>
                </c:pt>
                <c:pt idx="139">
                  <c:v>1671</c:v>
                </c:pt>
                <c:pt idx="140">
                  <c:v>1671</c:v>
                </c:pt>
                <c:pt idx="141">
                  <c:v>1673</c:v>
                </c:pt>
                <c:pt idx="142">
                  <c:v>1673</c:v>
                </c:pt>
                <c:pt idx="143">
                  <c:v>1673</c:v>
                </c:pt>
                <c:pt idx="144">
                  <c:v>1673</c:v>
                </c:pt>
                <c:pt idx="145">
                  <c:v>1673</c:v>
                </c:pt>
                <c:pt idx="146">
                  <c:v>1673</c:v>
                </c:pt>
                <c:pt idx="147">
                  <c:v>1673</c:v>
                </c:pt>
                <c:pt idx="148">
                  <c:v>1676</c:v>
                </c:pt>
                <c:pt idx="149">
                  <c:v>1676</c:v>
                </c:pt>
                <c:pt idx="150">
                  <c:v>1676</c:v>
                </c:pt>
                <c:pt idx="151">
                  <c:v>1676</c:v>
                </c:pt>
                <c:pt idx="152">
                  <c:v>1676</c:v>
                </c:pt>
                <c:pt idx="153">
                  <c:v>1676</c:v>
                </c:pt>
                <c:pt idx="154">
                  <c:v>1676</c:v>
                </c:pt>
                <c:pt idx="155">
                  <c:v>1678</c:v>
                </c:pt>
                <c:pt idx="156">
                  <c:v>1678</c:v>
                </c:pt>
                <c:pt idx="157">
                  <c:v>1678</c:v>
                </c:pt>
                <c:pt idx="158">
                  <c:v>1678</c:v>
                </c:pt>
                <c:pt idx="159">
                  <c:v>1678</c:v>
                </c:pt>
                <c:pt idx="160">
                  <c:v>1678</c:v>
                </c:pt>
                <c:pt idx="161">
                  <c:v>1678</c:v>
                </c:pt>
                <c:pt idx="162">
                  <c:v>1681</c:v>
                </c:pt>
                <c:pt idx="163">
                  <c:v>1681</c:v>
                </c:pt>
                <c:pt idx="164">
                  <c:v>1681</c:v>
                </c:pt>
                <c:pt idx="165">
                  <c:v>1681</c:v>
                </c:pt>
                <c:pt idx="166">
                  <c:v>1681</c:v>
                </c:pt>
                <c:pt idx="167">
                  <c:v>1681</c:v>
                </c:pt>
                <c:pt idx="168">
                  <c:v>1681</c:v>
                </c:pt>
                <c:pt idx="169">
                  <c:v>1683</c:v>
                </c:pt>
                <c:pt idx="170">
                  <c:v>1683</c:v>
                </c:pt>
                <c:pt idx="171">
                  <c:v>1683</c:v>
                </c:pt>
                <c:pt idx="172">
                  <c:v>1683</c:v>
                </c:pt>
                <c:pt idx="173">
                  <c:v>1683</c:v>
                </c:pt>
                <c:pt idx="174">
                  <c:v>1683</c:v>
                </c:pt>
                <c:pt idx="175">
                  <c:v>1683</c:v>
                </c:pt>
                <c:pt idx="176">
                  <c:v>1685</c:v>
                </c:pt>
                <c:pt idx="177">
                  <c:v>1685</c:v>
                </c:pt>
                <c:pt idx="178">
                  <c:v>1685</c:v>
                </c:pt>
                <c:pt idx="179">
                  <c:v>1685</c:v>
                </c:pt>
                <c:pt idx="180">
                  <c:v>1685</c:v>
                </c:pt>
                <c:pt idx="181">
                  <c:v>1685</c:v>
                </c:pt>
                <c:pt idx="182">
                  <c:v>1685</c:v>
                </c:pt>
                <c:pt idx="183">
                  <c:v>1688</c:v>
                </c:pt>
                <c:pt idx="184">
                  <c:v>1688</c:v>
                </c:pt>
                <c:pt idx="185">
                  <c:v>1688</c:v>
                </c:pt>
                <c:pt idx="186">
                  <c:v>1688</c:v>
                </c:pt>
                <c:pt idx="187">
                  <c:v>1688</c:v>
                </c:pt>
                <c:pt idx="188">
                  <c:v>1688</c:v>
                </c:pt>
                <c:pt idx="189">
                  <c:v>1688</c:v>
                </c:pt>
                <c:pt idx="190">
                  <c:v>1690</c:v>
                </c:pt>
                <c:pt idx="191">
                  <c:v>1690</c:v>
                </c:pt>
                <c:pt idx="192">
                  <c:v>1690</c:v>
                </c:pt>
                <c:pt idx="193">
                  <c:v>1690</c:v>
                </c:pt>
                <c:pt idx="194">
                  <c:v>1690</c:v>
                </c:pt>
                <c:pt idx="195">
                  <c:v>1690</c:v>
                </c:pt>
                <c:pt idx="196">
                  <c:v>1690</c:v>
                </c:pt>
                <c:pt idx="197">
                  <c:v>1693</c:v>
                </c:pt>
                <c:pt idx="198">
                  <c:v>1693</c:v>
                </c:pt>
                <c:pt idx="199">
                  <c:v>1693</c:v>
                </c:pt>
                <c:pt idx="200">
                  <c:v>1693</c:v>
                </c:pt>
                <c:pt idx="201">
                  <c:v>1693</c:v>
                </c:pt>
                <c:pt idx="202">
                  <c:v>1693</c:v>
                </c:pt>
                <c:pt idx="203">
                  <c:v>1693</c:v>
                </c:pt>
                <c:pt idx="204">
                  <c:v>1695</c:v>
                </c:pt>
                <c:pt idx="205">
                  <c:v>1695</c:v>
                </c:pt>
                <c:pt idx="206">
                  <c:v>1695</c:v>
                </c:pt>
                <c:pt idx="207">
                  <c:v>1695</c:v>
                </c:pt>
                <c:pt idx="208">
                  <c:v>1695</c:v>
                </c:pt>
                <c:pt idx="209">
                  <c:v>1695</c:v>
                </c:pt>
                <c:pt idx="210">
                  <c:v>1695</c:v>
                </c:pt>
                <c:pt idx="211">
                  <c:v>1698</c:v>
                </c:pt>
                <c:pt idx="212">
                  <c:v>1698</c:v>
                </c:pt>
                <c:pt idx="213">
                  <c:v>1698</c:v>
                </c:pt>
                <c:pt idx="214">
                  <c:v>1698</c:v>
                </c:pt>
                <c:pt idx="215">
                  <c:v>1698</c:v>
                </c:pt>
                <c:pt idx="216">
                  <c:v>1698</c:v>
                </c:pt>
                <c:pt idx="217">
                  <c:v>1698</c:v>
                </c:pt>
                <c:pt idx="218">
                  <c:v>1699</c:v>
                </c:pt>
                <c:pt idx="219">
                  <c:v>1699</c:v>
                </c:pt>
                <c:pt idx="220">
                  <c:v>1699</c:v>
                </c:pt>
                <c:pt idx="221">
                  <c:v>1699</c:v>
                </c:pt>
                <c:pt idx="222">
                  <c:v>1699</c:v>
                </c:pt>
                <c:pt idx="223">
                  <c:v>1699</c:v>
                </c:pt>
                <c:pt idx="224">
                  <c:v>1699</c:v>
                </c:pt>
                <c:pt idx="225">
                  <c:v>1700</c:v>
                </c:pt>
                <c:pt idx="226">
                  <c:v>1700</c:v>
                </c:pt>
                <c:pt idx="227">
                  <c:v>1700</c:v>
                </c:pt>
                <c:pt idx="228">
                  <c:v>1700</c:v>
                </c:pt>
                <c:pt idx="229">
                  <c:v>1700</c:v>
                </c:pt>
                <c:pt idx="230">
                  <c:v>1700</c:v>
                </c:pt>
                <c:pt idx="231">
                  <c:v>1700</c:v>
                </c:pt>
                <c:pt idx="232">
                  <c:v>1701</c:v>
                </c:pt>
                <c:pt idx="233">
                  <c:v>1701</c:v>
                </c:pt>
                <c:pt idx="234">
                  <c:v>1701</c:v>
                </c:pt>
                <c:pt idx="235">
                  <c:v>1701</c:v>
                </c:pt>
                <c:pt idx="236">
                  <c:v>1701</c:v>
                </c:pt>
                <c:pt idx="237">
                  <c:v>1701</c:v>
                </c:pt>
                <c:pt idx="238">
                  <c:v>1701</c:v>
                </c:pt>
                <c:pt idx="239">
                  <c:v>1702</c:v>
                </c:pt>
                <c:pt idx="240">
                  <c:v>1702</c:v>
                </c:pt>
                <c:pt idx="241">
                  <c:v>1702</c:v>
                </c:pt>
                <c:pt idx="242">
                  <c:v>1702</c:v>
                </c:pt>
                <c:pt idx="243">
                  <c:v>1702</c:v>
                </c:pt>
                <c:pt idx="244">
                  <c:v>1702</c:v>
                </c:pt>
                <c:pt idx="245">
                  <c:v>1702</c:v>
                </c:pt>
                <c:pt idx="246">
                  <c:v>1704</c:v>
                </c:pt>
                <c:pt idx="247">
                  <c:v>1704</c:v>
                </c:pt>
                <c:pt idx="248">
                  <c:v>1704</c:v>
                </c:pt>
                <c:pt idx="249">
                  <c:v>1704</c:v>
                </c:pt>
                <c:pt idx="250">
                  <c:v>1704</c:v>
                </c:pt>
                <c:pt idx="251">
                  <c:v>1704</c:v>
                </c:pt>
                <c:pt idx="252">
                  <c:v>1704</c:v>
                </c:pt>
                <c:pt idx="253">
                  <c:v>1705</c:v>
                </c:pt>
                <c:pt idx="254">
                  <c:v>1705</c:v>
                </c:pt>
                <c:pt idx="255">
                  <c:v>1705</c:v>
                </c:pt>
                <c:pt idx="256">
                  <c:v>1705</c:v>
                </c:pt>
                <c:pt idx="257">
                  <c:v>1705</c:v>
                </c:pt>
                <c:pt idx="258">
                  <c:v>1705</c:v>
                </c:pt>
                <c:pt idx="259">
                  <c:v>1705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1707</c:v>
                </c:pt>
                <c:pt idx="268">
                  <c:v>1707</c:v>
                </c:pt>
                <c:pt idx="269">
                  <c:v>1707</c:v>
                </c:pt>
                <c:pt idx="270">
                  <c:v>1707</c:v>
                </c:pt>
                <c:pt idx="271">
                  <c:v>1707</c:v>
                </c:pt>
                <c:pt idx="272">
                  <c:v>1707</c:v>
                </c:pt>
                <c:pt idx="273">
                  <c:v>1707</c:v>
                </c:pt>
                <c:pt idx="274">
                  <c:v>1708</c:v>
                </c:pt>
                <c:pt idx="275">
                  <c:v>1708</c:v>
                </c:pt>
                <c:pt idx="276">
                  <c:v>1708</c:v>
                </c:pt>
                <c:pt idx="277">
                  <c:v>1708</c:v>
                </c:pt>
                <c:pt idx="278">
                  <c:v>1708</c:v>
                </c:pt>
                <c:pt idx="279">
                  <c:v>1708</c:v>
                </c:pt>
                <c:pt idx="280">
                  <c:v>1708</c:v>
                </c:pt>
                <c:pt idx="281">
                  <c:v>1710</c:v>
                </c:pt>
                <c:pt idx="282">
                  <c:v>1710</c:v>
                </c:pt>
                <c:pt idx="283">
                  <c:v>1710</c:v>
                </c:pt>
                <c:pt idx="284">
                  <c:v>1710</c:v>
                </c:pt>
                <c:pt idx="285">
                  <c:v>1710</c:v>
                </c:pt>
                <c:pt idx="286">
                  <c:v>1710</c:v>
                </c:pt>
                <c:pt idx="287">
                  <c:v>1710</c:v>
                </c:pt>
                <c:pt idx="288">
                  <c:v>1711</c:v>
                </c:pt>
                <c:pt idx="289">
                  <c:v>1711</c:v>
                </c:pt>
                <c:pt idx="290">
                  <c:v>1711</c:v>
                </c:pt>
                <c:pt idx="291">
                  <c:v>1711</c:v>
                </c:pt>
                <c:pt idx="292">
                  <c:v>1711</c:v>
                </c:pt>
                <c:pt idx="293">
                  <c:v>1711</c:v>
                </c:pt>
                <c:pt idx="294">
                  <c:v>1711</c:v>
                </c:pt>
                <c:pt idx="295">
                  <c:v>1712</c:v>
                </c:pt>
                <c:pt idx="296">
                  <c:v>1712</c:v>
                </c:pt>
                <c:pt idx="297">
                  <c:v>1712</c:v>
                </c:pt>
                <c:pt idx="298">
                  <c:v>1712</c:v>
                </c:pt>
                <c:pt idx="299">
                  <c:v>1712</c:v>
                </c:pt>
                <c:pt idx="300">
                  <c:v>1712</c:v>
                </c:pt>
                <c:pt idx="301">
                  <c:v>1712</c:v>
                </c:pt>
                <c:pt idx="302">
                  <c:v>1713</c:v>
                </c:pt>
                <c:pt idx="303">
                  <c:v>1713</c:v>
                </c:pt>
                <c:pt idx="304">
                  <c:v>1713</c:v>
                </c:pt>
                <c:pt idx="305">
                  <c:v>1713</c:v>
                </c:pt>
                <c:pt idx="306">
                  <c:v>1713</c:v>
                </c:pt>
                <c:pt idx="307">
                  <c:v>1713</c:v>
                </c:pt>
                <c:pt idx="308">
                  <c:v>1713</c:v>
                </c:pt>
                <c:pt idx="309">
                  <c:v>1714</c:v>
                </c:pt>
                <c:pt idx="310">
                  <c:v>1714</c:v>
                </c:pt>
                <c:pt idx="311">
                  <c:v>1714</c:v>
                </c:pt>
                <c:pt idx="312">
                  <c:v>1714</c:v>
                </c:pt>
                <c:pt idx="313">
                  <c:v>1714</c:v>
                </c:pt>
                <c:pt idx="314">
                  <c:v>1714</c:v>
                </c:pt>
                <c:pt idx="315">
                  <c:v>1714</c:v>
                </c:pt>
                <c:pt idx="316">
                  <c:v>1716</c:v>
                </c:pt>
                <c:pt idx="317">
                  <c:v>1716</c:v>
                </c:pt>
                <c:pt idx="318">
                  <c:v>1716</c:v>
                </c:pt>
                <c:pt idx="319">
                  <c:v>1716</c:v>
                </c:pt>
                <c:pt idx="320">
                  <c:v>1716</c:v>
                </c:pt>
                <c:pt idx="321">
                  <c:v>1716</c:v>
                </c:pt>
                <c:pt idx="322">
                  <c:v>1716</c:v>
                </c:pt>
                <c:pt idx="323">
                  <c:v>1717</c:v>
                </c:pt>
                <c:pt idx="324">
                  <c:v>1717</c:v>
                </c:pt>
                <c:pt idx="325">
                  <c:v>1717</c:v>
                </c:pt>
                <c:pt idx="326">
                  <c:v>1717</c:v>
                </c:pt>
                <c:pt idx="327">
                  <c:v>1717</c:v>
                </c:pt>
                <c:pt idx="328">
                  <c:v>1717</c:v>
                </c:pt>
                <c:pt idx="329">
                  <c:v>1717</c:v>
                </c:pt>
                <c:pt idx="330">
                  <c:v>1718</c:v>
                </c:pt>
                <c:pt idx="331">
                  <c:v>1718</c:v>
                </c:pt>
                <c:pt idx="332">
                  <c:v>1718</c:v>
                </c:pt>
                <c:pt idx="333">
                  <c:v>1718</c:v>
                </c:pt>
                <c:pt idx="334">
                  <c:v>1718</c:v>
                </c:pt>
                <c:pt idx="335">
                  <c:v>1718</c:v>
                </c:pt>
                <c:pt idx="336">
                  <c:v>1718</c:v>
                </c:pt>
                <c:pt idx="337">
                  <c:v>1719</c:v>
                </c:pt>
                <c:pt idx="338">
                  <c:v>1719</c:v>
                </c:pt>
                <c:pt idx="339">
                  <c:v>1719</c:v>
                </c:pt>
                <c:pt idx="340">
                  <c:v>1719</c:v>
                </c:pt>
                <c:pt idx="341">
                  <c:v>1719</c:v>
                </c:pt>
                <c:pt idx="342">
                  <c:v>1719</c:v>
                </c:pt>
                <c:pt idx="343">
                  <c:v>1719</c:v>
                </c:pt>
                <c:pt idx="344">
                  <c:v>1721</c:v>
                </c:pt>
                <c:pt idx="345">
                  <c:v>1721</c:v>
                </c:pt>
                <c:pt idx="346">
                  <c:v>1721</c:v>
                </c:pt>
                <c:pt idx="347">
                  <c:v>1721</c:v>
                </c:pt>
                <c:pt idx="348">
                  <c:v>1721</c:v>
                </c:pt>
                <c:pt idx="349">
                  <c:v>1721</c:v>
                </c:pt>
                <c:pt idx="350">
                  <c:v>1721</c:v>
                </c:pt>
                <c:pt idx="351">
                  <c:v>1722</c:v>
                </c:pt>
                <c:pt idx="352">
                  <c:v>1722</c:v>
                </c:pt>
                <c:pt idx="353">
                  <c:v>1722</c:v>
                </c:pt>
                <c:pt idx="354">
                  <c:v>1722</c:v>
                </c:pt>
                <c:pt idx="355">
                  <c:v>1722</c:v>
                </c:pt>
                <c:pt idx="356">
                  <c:v>1722</c:v>
                </c:pt>
                <c:pt idx="357">
                  <c:v>1722</c:v>
                </c:pt>
                <c:pt idx="358">
                  <c:v>1723</c:v>
                </c:pt>
                <c:pt idx="359">
                  <c:v>1723</c:v>
                </c:pt>
                <c:pt idx="360">
                  <c:v>1723</c:v>
                </c:pt>
                <c:pt idx="361">
                  <c:v>1723</c:v>
                </c:pt>
                <c:pt idx="362">
                  <c:v>1723</c:v>
                </c:pt>
                <c:pt idx="363">
                  <c:v>1723</c:v>
                </c:pt>
                <c:pt idx="364">
                  <c:v>1723</c:v>
                </c:pt>
                <c:pt idx="365">
                  <c:v>1724</c:v>
                </c:pt>
                <c:pt idx="366">
                  <c:v>1724</c:v>
                </c:pt>
                <c:pt idx="367">
                  <c:v>1724</c:v>
                </c:pt>
                <c:pt idx="368">
                  <c:v>1724</c:v>
                </c:pt>
                <c:pt idx="369">
                  <c:v>1724</c:v>
                </c:pt>
                <c:pt idx="370">
                  <c:v>1724</c:v>
                </c:pt>
                <c:pt idx="371">
                  <c:v>1724</c:v>
                </c:pt>
                <c:pt idx="372">
                  <c:v>1725</c:v>
                </c:pt>
                <c:pt idx="373">
                  <c:v>1725</c:v>
                </c:pt>
                <c:pt idx="374">
                  <c:v>1725</c:v>
                </c:pt>
                <c:pt idx="375">
                  <c:v>1725</c:v>
                </c:pt>
                <c:pt idx="376">
                  <c:v>1725</c:v>
                </c:pt>
                <c:pt idx="377">
                  <c:v>1725</c:v>
                </c:pt>
                <c:pt idx="378">
                  <c:v>1725</c:v>
                </c:pt>
                <c:pt idx="379">
                  <c:v>1727</c:v>
                </c:pt>
                <c:pt idx="380">
                  <c:v>1727</c:v>
                </c:pt>
                <c:pt idx="381">
                  <c:v>1727</c:v>
                </c:pt>
                <c:pt idx="382">
                  <c:v>1727</c:v>
                </c:pt>
                <c:pt idx="383">
                  <c:v>1727</c:v>
                </c:pt>
                <c:pt idx="384">
                  <c:v>1727</c:v>
                </c:pt>
                <c:pt idx="385">
                  <c:v>1727</c:v>
                </c:pt>
                <c:pt idx="386">
                  <c:v>1728</c:v>
                </c:pt>
                <c:pt idx="387">
                  <c:v>1728</c:v>
                </c:pt>
                <c:pt idx="388">
                  <c:v>1728</c:v>
                </c:pt>
                <c:pt idx="389">
                  <c:v>1728</c:v>
                </c:pt>
                <c:pt idx="390">
                  <c:v>1728</c:v>
                </c:pt>
                <c:pt idx="391">
                  <c:v>1728</c:v>
                </c:pt>
                <c:pt idx="392">
                  <c:v>1728</c:v>
                </c:pt>
                <c:pt idx="393">
                  <c:v>1729</c:v>
                </c:pt>
                <c:pt idx="394">
                  <c:v>1729</c:v>
                </c:pt>
                <c:pt idx="395">
                  <c:v>1729</c:v>
                </c:pt>
                <c:pt idx="396">
                  <c:v>1729</c:v>
                </c:pt>
                <c:pt idx="397">
                  <c:v>1729</c:v>
                </c:pt>
                <c:pt idx="398">
                  <c:v>1729</c:v>
                </c:pt>
                <c:pt idx="399">
                  <c:v>1729</c:v>
                </c:pt>
                <c:pt idx="400">
                  <c:v>1730</c:v>
                </c:pt>
                <c:pt idx="401">
                  <c:v>1730</c:v>
                </c:pt>
                <c:pt idx="402">
                  <c:v>1730</c:v>
                </c:pt>
                <c:pt idx="403">
                  <c:v>1730</c:v>
                </c:pt>
                <c:pt idx="404">
                  <c:v>1730</c:v>
                </c:pt>
                <c:pt idx="405">
                  <c:v>1730</c:v>
                </c:pt>
                <c:pt idx="406">
                  <c:v>1730</c:v>
                </c:pt>
                <c:pt idx="407">
                  <c:v>1730</c:v>
                </c:pt>
                <c:pt idx="408">
                  <c:v>1730</c:v>
                </c:pt>
                <c:pt idx="409">
                  <c:v>1730</c:v>
                </c:pt>
                <c:pt idx="410">
                  <c:v>1730</c:v>
                </c:pt>
                <c:pt idx="411">
                  <c:v>1730</c:v>
                </c:pt>
                <c:pt idx="412">
                  <c:v>1730</c:v>
                </c:pt>
                <c:pt idx="413">
                  <c:v>1730</c:v>
                </c:pt>
                <c:pt idx="414">
                  <c:v>1731</c:v>
                </c:pt>
                <c:pt idx="415">
                  <c:v>1731</c:v>
                </c:pt>
                <c:pt idx="416">
                  <c:v>1731</c:v>
                </c:pt>
                <c:pt idx="417">
                  <c:v>1731</c:v>
                </c:pt>
                <c:pt idx="418">
                  <c:v>1731</c:v>
                </c:pt>
                <c:pt idx="419">
                  <c:v>1731</c:v>
                </c:pt>
                <c:pt idx="420">
                  <c:v>1731</c:v>
                </c:pt>
                <c:pt idx="421">
                  <c:v>1732</c:v>
                </c:pt>
                <c:pt idx="422">
                  <c:v>1732</c:v>
                </c:pt>
                <c:pt idx="423">
                  <c:v>1732</c:v>
                </c:pt>
                <c:pt idx="424">
                  <c:v>1732</c:v>
                </c:pt>
                <c:pt idx="425">
                  <c:v>1732</c:v>
                </c:pt>
                <c:pt idx="426">
                  <c:v>1732</c:v>
                </c:pt>
                <c:pt idx="427">
                  <c:v>1732</c:v>
                </c:pt>
                <c:pt idx="428">
                  <c:v>1733</c:v>
                </c:pt>
                <c:pt idx="429">
                  <c:v>1733</c:v>
                </c:pt>
                <c:pt idx="430">
                  <c:v>1733</c:v>
                </c:pt>
                <c:pt idx="431">
                  <c:v>1733</c:v>
                </c:pt>
                <c:pt idx="432">
                  <c:v>1733</c:v>
                </c:pt>
                <c:pt idx="433">
                  <c:v>1733</c:v>
                </c:pt>
                <c:pt idx="434">
                  <c:v>1733</c:v>
                </c:pt>
                <c:pt idx="435">
                  <c:v>1734</c:v>
                </c:pt>
                <c:pt idx="436">
                  <c:v>1734</c:v>
                </c:pt>
                <c:pt idx="437">
                  <c:v>1734</c:v>
                </c:pt>
                <c:pt idx="438">
                  <c:v>1734</c:v>
                </c:pt>
                <c:pt idx="439">
                  <c:v>1734</c:v>
                </c:pt>
                <c:pt idx="440">
                  <c:v>1734</c:v>
                </c:pt>
                <c:pt idx="441">
                  <c:v>1734</c:v>
                </c:pt>
                <c:pt idx="442">
                  <c:v>1735</c:v>
                </c:pt>
                <c:pt idx="443">
                  <c:v>1735</c:v>
                </c:pt>
                <c:pt idx="444">
                  <c:v>1735</c:v>
                </c:pt>
                <c:pt idx="445">
                  <c:v>1735</c:v>
                </c:pt>
                <c:pt idx="446">
                  <c:v>1735</c:v>
                </c:pt>
                <c:pt idx="447">
                  <c:v>1735</c:v>
                </c:pt>
                <c:pt idx="448">
                  <c:v>1735</c:v>
                </c:pt>
                <c:pt idx="449">
                  <c:v>1736</c:v>
                </c:pt>
                <c:pt idx="450">
                  <c:v>1736</c:v>
                </c:pt>
                <c:pt idx="451">
                  <c:v>1736</c:v>
                </c:pt>
                <c:pt idx="452">
                  <c:v>1736</c:v>
                </c:pt>
                <c:pt idx="453">
                  <c:v>1736</c:v>
                </c:pt>
                <c:pt idx="454">
                  <c:v>1736</c:v>
                </c:pt>
                <c:pt idx="455">
                  <c:v>1736</c:v>
                </c:pt>
                <c:pt idx="456">
                  <c:v>1737</c:v>
                </c:pt>
                <c:pt idx="457">
                  <c:v>1737</c:v>
                </c:pt>
                <c:pt idx="458">
                  <c:v>1737</c:v>
                </c:pt>
                <c:pt idx="459">
                  <c:v>1737</c:v>
                </c:pt>
                <c:pt idx="460">
                  <c:v>1737</c:v>
                </c:pt>
                <c:pt idx="461">
                  <c:v>1737</c:v>
                </c:pt>
                <c:pt idx="462">
                  <c:v>1737</c:v>
                </c:pt>
                <c:pt idx="463">
                  <c:v>1738</c:v>
                </c:pt>
                <c:pt idx="464">
                  <c:v>1738</c:v>
                </c:pt>
                <c:pt idx="465">
                  <c:v>1738</c:v>
                </c:pt>
                <c:pt idx="466">
                  <c:v>1738</c:v>
                </c:pt>
                <c:pt idx="467">
                  <c:v>1738</c:v>
                </c:pt>
                <c:pt idx="468">
                  <c:v>1738</c:v>
                </c:pt>
                <c:pt idx="469">
                  <c:v>1738</c:v>
                </c:pt>
                <c:pt idx="470">
                  <c:v>1739</c:v>
                </c:pt>
                <c:pt idx="471">
                  <c:v>1739</c:v>
                </c:pt>
                <c:pt idx="472">
                  <c:v>1739</c:v>
                </c:pt>
                <c:pt idx="473">
                  <c:v>1739</c:v>
                </c:pt>
                <c:pt idx="474">
                  <c:v>1739</c:v>
                </c:pt>
                <c:pt idx="475">
                  <c:v>1739</c:v>
                </c:pt>
                <c:pt idx="476">
                  <c:v>1739</c:v>
                </c:pt>
                <c:pt idx="477">
                  <c:v>1740</c:v>
                </c:pt>
                <c:pt idx="478">
                  <c:v>1740</c:v>
                </c:pt>
                <c:pt idx="479">
                  <c:v>1740</c:v>
                </c:pt>
                <c:pt idx="480">
                  <c:v>1740</c:v>
                </c:pt>
                <c:pt idx="481">
                  <c:v>1740</c:v>
                </c:pt>
                <c:pt idx="482">
                  <c:v>1740</c:v>
                </c:pt>
                <c:pt idx="483">
                  <c:v>1740</c:v>
                </c:pt>
                <c:pt idx="484">
                  <c:v>1741</c:v>
                </c:pt>
                <c:pt idx="485">
                  <c:v>1741</c:v>
                </c:pt>
                <c:pt idx="486">
                  <c:v>1741</c:v>
                </c:pt>
                <c:pt idx="487">
                  <c:v>1741</c:v>
                </c:pt>
                <c:pt idx="488">
                  <c:v>1741</c:v>
                </c:pt>
                <c:pt idx="489">
                  <c:v>1741</c:v>
                </c:pt>
                <c:pt idx="490">
                  <c:v>1741</c:v>
                </c:pt>
                <c:pt idx="491">
                  <c:v>1742</c:v>
                </c:pt>
                <c:pt idx="492">
                  <c:v>1742</c:v>
                </c:pt>
                <c:pt idx="493">
                  <c:v>1742</c:v>
                </c:pt>
                <c:pt idx="494">
                  <c:v>1742</c:v>
                </c:pt>
                <c:pt idx="495">
                  <c:v>1742</c:v>
                </c:pt>
                <c:pt idx="496">
                  <c:v>1742</c:v>
                </c:pt>
                <c:pt idx="497">
                  <c:v>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B8-44ED-86AE-0A90898DD4B0}"/>
            </c:ext>
          </c:extLst>
        </c:ser>
        <c:ser>
          <c:idx val="4"/>
          <c:order val="5"/>
          <c:tx>
            <c:strRef>
              <c:f>'tuot-PVÄ'!$AD$2</c:f>
              <c:strCache>
                <c:ptCount val="1"/>
                <c:pt idx="0">
                  <c:v>STD kana E</c:v>
                </c:pt>
              </c:strCache>
            </c:strRef>
          </c:tx>
          <c:spPr>
            <a:solidFill>
              <a:schemeClr val="accent4">
                <a:alpha val="30000"/>
              </a:schemeClr>
            </a:solidFill>
            <a:ln>
              <a:noFill/>
            </a:ln>
            <a:effectLst/>
          </c:spPr>
          <c:val>
            <c:numRef>
              <c:f>'tuot-PVÄ'!$AD$3:$AD$500</c:f>
              <c:numCache>
                <c:formatCode>General</c:formatCode>
                <c:ptCount val="498"/>
                <c:pt idx="0">
                  <c:v>72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84</c:v>
                </c:pt>
                <c:pt idx="16">
                  <c:v>84</c:v>
                </c:pt>
                <c:pt idx="17">
                  <c:v>84</c:v>
                </c:pt>
                <c:pt idx="18">
                  <c:v>84</c:v>
                </c:pt>
                <c:pt idx="19">
                  <c:v>84</c:v>
                </c:pt>
                <c:pt idx="20">
                  <c:v>84</c:v>
                </c:pt>
                <c:pt idx="21">
                  <c:v>84</c:v>
                </c:pt>
                <c:pt idx="22">
                  <c:v>87</c:v>
                </c:pt>
                <c:pt idx="23">
                  <c:v>87</c:v>
                </c:pt>
                <c:pt idx="24">
                  <c:v>87</c:v>
                </c:pt>
                <c:pt idx="25">
                  <c:v>87</c:v>
                </c:pt>
                <c:pt idx="26">
                  <c:v>87</c:v>
                </c:pt>
                <c:pt idx="27">
                  <c:v>87</c:v>
                </c:pt>
                <c:pt idx="28">
                  <c:v>87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92</c:v>
                </c:pt>
                <c:pt idx="37">
                  <c:v>92</c:v>
                </c:pt>
                <c:pt idx="38">
                  <c:v>92</c:v>
                </c:pt>
                <c:pt idx="39">
                  <c:v>92</c:v>
                </c:pt>
                <c:pt idx="40">
                  <c:v>92</c:v>
                </c:pt>
                <c:pt idx="41">
                  <c:v>92</c:v>
                </c:pt>
                <c:pt idx="42">
                  <c:v>92</c:v>
                </c:pt>
                <c:pt idx="43">
                  <c:v>94</c:v>
                </c:pt>
                <c:pt idx="44">
                  <c:v>94</c:v>
                </c:pt>
                <c:pt idx="45">
                  <c:v>94</c:v>
                </c:pt>
                <c:pt idx="46">
                  <c:v>94</c:v>
                </c:pt>
                <c:pt idx="47">
                  <c:v>94</c:v>
                </c:pt>
                <c:pt idx="48">
                  <c:v>94</c:v>
                </c:pt>
                <c:pt idx="49">
                  <c:v>94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96</c:v>
                </c:pt>
                <c:pt idx="57">
                  <c:v>95</c:v>
                </c:pt>
                <c:pt idx="58">
                  <c:v>95</c:v>
                </c:pt>
                <c:pt idx="59">
                  <c:v>95</c:v>
                </c:pt>
                <c:pt idx="60">
                  <c:v>95</c:v>
                </c:pt>
                <c:pt idx="61">
                  <c:v>95</c:v>
                </c:pt>
                <c:pt idx="62">
                  <c:v>95</c:v>
                </c:pt>
                <c:pt idx="63">
                  <c:v>95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102</c:v>
                </c:pt>
                <c:pt idx="79">
                  <c:v>102</c:v>
                </c:pt>
                <c:pt idx="80">
                  <c:v>102</c:v>
                </c:pt>
                <c:pt idx="81">
                  <c:v>102</c:v>
                </c:pt>
                <c:pt idx="82">
                  <c:v>102</c:v>
                </c:pt>
                <c:pt idx="83">
                  <c:v>102</c:v>
                </c:pt>
                <c:pt idx="84">
                  <c:v>102</c:v>
                </c:pt>
                <c:pt idx="85">
                  <c:v>102</c:v>
                </c:pt>
                <c:pt idx="86">
                  <c:v>102</c:v>
                </c:pt>
                <c:pt idx="87">
                  <c:v>102</c:v>
                </c:pt>
                <c:pt idx="88">
                  <c:v>102</c:v>
                </c:pt>
                <c:pt idx="89">
                  <c:v>102</c:v>
                </c:pt>
                <c:pt idx="90">
                  <c:v>102</c:v>
                </c:pt>
                <c:pt idx="91">
                  <c:v>102</c:v>
                </c:pt>
                <c:pt idx="92">
                  <c:v>102</c:v>
                </c:pt>
                <c:pt idx="93">
                  <c:v>102</c:v>
                </c:pt>
                <c:pt idx="94">
                  <c:v>102</c:v>
                </c:pt>
                <c:pt idx="95">
                  <c:v>102</c:v>
                </c:pt>
                <c:pt idx="96">
                  <c:v>102</c:v>
                </c:pt>
                <c:pt idx="97">
                  <c:v>102</c:v>
                </c:pt>
                <c:pt idx="98">
                  <c:v>102</c:v>
                </c:pt>
                <c:pt idx="99">
                  <c:v>102</c:v>
                </c:pt>
                <c:pt idx="100">
                  <c:v>102</c:v>
                </c:pt>
                <c:pt idx="101">
                  <c:v>102</c:v>
                </c:pt>
                <c:pt idx="102">
                  <c:v>102</c:v>
                </c:pt>
                <c:pt idx="103">
                  <c:v>102</c:v>
                </c:pt>
                <c:pt idx="104">
                  <c:v>102</c:v>
                </c:pt>
                <c:pt idx="105">
                  <c:v>102</c:v>
                </c:pt>
                <c:pt idx="106">
                  <c:v>103</c:v>
                </c:pt>
                <c:pt idx="107">
                  <c:v>103</c:v>
                </c:pt>
                <c:pt idx="108">
                  <c:v>103</c:v>
                </c:pt>
                <c:pt idx="109">
                  <c:v>103</c:v>
                </c:pt>
                <c:pt idx="110">
                  <c:v>103</c:v>
                </c:pt>
                <c:pt idx="111">
                  <c:v>103</c:v>
                </c:pt>
                <c:pt idx="112">
                  <c:v>103</c:v>
                </c:pt>
                <c:pt idx="113">
                  <c:v>102</c:v>
                </c:pt>
                <c:pt idx="114">
                  <c:v>102</c:v>
                </c:pt>
                <c:pt idx="115">
                  <c:v>102</c:v>
                </c:pt>
                <c:pt idx="116">
                  <c:v>102</c:v>
                </c:pt>
                <c:pt idx="117">
                  <c:v>102</c:v>
                </c:pt>
                <c:pt idx="118">
                  <c:v>102</c:v>
                </c:pt>
                <c:pt idx="119">
                  <c:v>102</c:v>
                </c:pt>
                <c:pt idx="120">
                  <c:v>103</c:v>
                </c:pt>
                <c:pt idx="121">
                  <c:v>103</c:v>
                </c:pt>
                <c:pt idx="122">
                  <c:v>103</c:v>
                </c:pt>
                <c:pt idx="123">
                  <c:v>103</c:v>
                </c:pt>
                <c:pt idx="124">
                  <c:v>103</c:v>
                </c:pt>
                <c:pt idx="125">
                  <c:v>103</c:v>
                </c:pt>
                <c:pt idx="126">
                  <c:v>103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103</c:v>
                </c:pt>
                <c:pt idx="135">
                  <c:v>103</c:v>
                </c:pt>
                <c:pt idx="136">
                  <c:v>103</c:v>
                </c:pt>
                <c:pt idx="137">
                  <c:v>103</c:v>
                </c:pt>
                <c:pt idx="138">
                  <c:v>103</c:v>
                </c:pt>
                <c:pt idx="139">
                  <c:v>103</c:v>
                </c:pt>
                <c:pt idx="140">
                  <c:v>103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103</c:v>
                </c:pt>
                <c:pt idx="149">
                  <c:v>103</c:v>
                </c:pt>
                <c:pt idx="150">
                  <c:v>103</c:v>
                </c:pt>
                <c:pt idx="151">
                  <c:v>103</c:v>
                </c:pt>
                <c:pt idx="152">
                  <c:v>103</c:v>
                </c:pt>
                <c:pt idx="153">
                  <c:v>103</c:v>
                </c:pt>
                <c:pt idx="154">
                  <c:v>103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103</c:v>
                </c:pt>
                <c:pt idx="163">
                  <c:v>103</c:v>
                </c:pt>
                <c:pt idx="164">
                  <c:v>103</c:v>
                </c:pt>
                <c:pt idx="165">
                  <c:v>103</c:v>
                </c:pt>
                <c:pt idx="166">
                  <c:v>103</c:v>
                </c:pt>
                <c:pt idx="167">
                  <c:v>103</c:v>
                </c:pt>
                <c:pt idx="168">
                  <c:v>103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105</c:v>
                </c:pt>
                <c:pt idx="177">
                  <c:v>105</c:v>
                </c:pt>
                <c:pt idx="178">
                  <c:v>105</c:v>
                </c:pt>
                <c:pt idx="179">
                  <c:v>105</c:v>
                </c:pt>
                <c:pt idx="180">
                  <c:v>105</c:v>
                </c:pt>
                <c:pt idx="181">
                  <c:v>105</c:v>
                </c:pt>
                <c:pt idx="182">
                  <c:v>105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105</c:v>
                </c:pt>
                <c:pt idx="191">
                  <c:v>105</c:v>
                </c:pt>
                <c:pt idx="192">
                  <c:v>105</c:v>
                </c:pt>
                <c:pt idx="193">
                  <c:v>105</c:v>
                </c:pt>
                <c:pt idx="194">
                  <c:v>105</c:v>
                </c:pt>
                <c:pt idx="195">
                  <c:v>105</c:v>
                </c:pt>
                <c:pt idx="196">
                  <c:v>105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  <c:pt idx="200">
                  <c:v>104</c:v>
                </c:pt>
                <c:pt idx="201">
                  <c:v>104</c:v>
                </c:pt>
                <c:pt idx="202">
                  <c:v>104</c:v>
                </c:pt>
                <c:pt idx="203">
                  <c:v>104</c:v>
                </c:pt>
                <c:pt idx="204">
                  <c:v>105</c:v>
                </c:pt>
                <c:pt idx="205">
                  <c:v>105</c:v>
                </c:pt>
                <c:pt idx="206">
                  <c:v>105</c:v>
                </c:pt>
                <c:pt idx="207">
                  <c:v>105</c:v>
                </c:pt>
                <c:pt idx="208">
                  <c:v>105</c:v>
                </c:pt>
                <c:pt idx="209">
                  <c:v>105</c:v>
                </c:pt>
                <c:pt idx="210">
                  <c:v>105</c:v>
                </c:pt>
                <c:pt idx="211">
                  <c:v>105</c:v>
                </c:pt>
                <c:pt idx="212">
                  <c:v>105</c:v>
                </c:pt>
                <c:pt idx="213">
                  <c:v>105</c:v>
                </c:pt>
                <c:pt idx="214">
                  <c:v>105</c:v>
                </c:pt>
                <c:pt idx="215">
                  <c:v>105</c:v>
                </c:pt>
                <c:pt idx="216">
                  <c:v>105</c:v>
                </c:pt>
                <c:pt idx="217">
                  <c:v>105</c:v>
                </c:pt>
                <c:pt idx="218">
                  <c:v>105</c:v>
                </c:pt>
                <c:pt idx="219">
                  <c:v>105</c:v>
                </c:pt>
                <c:pt idx="220">
                  <c:v>105</c:v>
                </c:pt>
                <c:pt idx="221">
                  <c:v>105</c:v>
                </c:pt>
                <c:pt idx="222">
                  <c:v>105</c:v>
                </c:pt>
                <c:pt idx="223">
                  <c:v>105</c:v>
                </c:pt>
                <c:pt idx="224">
                  <c:v>105</c:v>
                </c:pt>
                <c:pt idx="225">
                  <c:v>105</c:v>
                </c:pt>
                <c:pt idx="226">
                  <c:v>105</c:v>
                </c:pt>
                <c:pt idx="227">
                  <c:v>105</c:v>
                </c:pt>
                <c:pt idx="228">
                  <c:v>105</c:v>
                </c:pt>
                <c:pt idx="229">
                  <c:v>105</c:v>
                </c:pt>
                <c:pt idx="230">
                  <c:v>105</c:v>
                </c:pt>
                <c:pt idx="231">
                  <c:v>105</c:v>
                </c:pt>
                <c:pt idx="232">
                  <c:v>105</c:v>
                </c:pt>
                <c:pt idx="233">
                  <c:v>105</c:v>
                </c:pt>
                <c:pt idx="234">
                  <c:v>105</c:v>
                </c:pt>
                <c:pt idx="235">
                  <c:v>105</c:v>
                </c:pt>
                <c:pt idx="236">
                  <c:v>105</c:v>
                </c:pt>
                <c:pt idx="237">
                  <c:v>105</c:v>
                </c:pt>
                <c:pt idx="238">
                  <c:v>105</c:v>
                </c:pt>
                <c:pt idx="239">
                  <c:v>106</c:v>
                </c:pt>
                <c:pt idx="240">
                  <c:v>106</c:v>
                </c:pt>
                <c:pt idx="241">
                  <c:v>106</c:v>
                </c:pt>
                <c:pt idx="242">
                  <c:v>106</c:v>
                </c:pt>
                <c:pt idx="243">
                  <c:v>106</c:v>
                </c:pt>
                <c:pt idx="244">
                  <c:v>106</c:v>
                </c:pt>
                <c:pt idx="245">
                  <c:v>106</c:v>
                </c:pt>
                <c:pt idx="246">
                  <c:v>105</c:v>
                </c:pt>
                <c:pt idx="247">
                  <c:v>105</c:v>
                </c:pt>
                <c:pt idx="248">
                  <c:v>105</c:v>
                </c:pt>
                <c:pt idx="249">
                  <c:v>105</c:v>
                </c:pt>
                <c:pt idx="250">
                  <c:v>105</c:v>
                </c:pt>
                <c:pt idx="251">
                  <c:v>105</c:v>
                </c:pt>
                <c:pt idx="252">
                  <c:v>105</c:v>
                </c:pt>
                <c:pt idx="253">
                  <c:v>105</c:v>
                </c:pt>
                <c:pt idx="254">
                  <c:v>105</c:v>
                </c:pt>
                <c:pt idx="255">
                  <c:v>105</c:v>
                </c:pt>
                <c:pt idx="256">
                  <c:v>105</c:v>
                </c:pt>
                <c:pt idx="257">
                  <c:v>105</c:v>
                </c:pt>
                <c:pt idx="258">
                  <c:v>105</c:v>
                </c:pt>
                <c:pt idx="259">
                  <c:v>105</c:v>
                </c:pt>
                <c:pt idx="260">
                  <c:v>106</c:v>
                </c:pt>
                <c:pt idx="261">
                  <c:v>106</c:v>
                </c:pt>
                <c:pt idx="262">
                  <c:v>106</c:v>
                </c:pt>
                <c:pt idx="263">
                  <c:v>106</c:v>
                </c:pt>
                <c:pt idx="264">
                  <c:v>106</c:v>
                </c:pt>
                <c:pt idx="265">
                  <c:v>106</c:v>
                </c:pt>
                <c:pt idx="266">
                  <c:v>106</c:v>
                </c:pt>
                <c:pt idx="267">
                  <c:v>106</c:v>
                </c:pt>
                <c:pt idx="268">
                  <c:v>106</c:v>
                </c:pt>
                <c:pt idx="269">
                  <c:v>106</c:v>
                </c:pt>
                <c:pt idx="270">
                  <c:v>106</c:v>
                </c:pt>
                <c:pt idx="271">
                  <c:v>106</c:v>
                </c:pt>
                <c:pt idx="272">
                  <c:v>106</c:v>
                </c:pt>
                <c:pt idx="273">
                  <c:v>106</c:v>
                </c:pt>
                <c:pt idx="274">
                  <c:v>106</c:v>
                </c:pt>
                <c:pt idx="275">
                  <c:v>106</c:v>
                </c:pt>
                <c:pt idx="276">
                  <c:v>106</c:v>
                </c:pt>
                <c:pt idx="277">
                  <c:v>106</c:v>
                </c:pt>
                <c:pt idx="278">
                  <c:v>106</c:v>
                </c:pt>
                <c:pt idx="279">
                  <c:v>106</c:v>
                </c:pt>
                <c:pt idx="280">
                  <c:v>106</c:v>
                </c:pt>
                <c:pt idx="281">
                  <c:v>105</c:v>
                </c:pt>
                <c:pt idx="282">
                  <c:v>105</c:v>
                </c:pt>
                <c:pt idx="283">
                  <c:v>105</c:v>
                </c:pt>
                <c:pt idx="284">
                  <c:v>105</c:v>
                </c:pt>
                <c:pt idx="285">
                  <c:v>105</c:v>
                </c:pt>
                <c:pt idx="286">
                  <c:v>105</c:v>
                </c:pt>
                <c:pt idx="287">
                  <c:v>105</c:v>
                </c:pt>
                <c:pt idx="288">
                  <c:v>106</c:v>
                </c:pt>
                <c:pt idx="289">
                  <c:v>106</c:v>
                </c:pt>
                <c:pt idx="290">
                  <c:v>106</c:v>
                </c:pt>
                <c:pt idx="291">
                  <c:v>106</c:v>
                </c:pt>
                <c:pt idx="292">
                  <c:v>106</c:v>
                </c:pt>
                <c:pt idx="293">
                  <c:v>106</c:v>
                </c:pt>
                <c:pt idx="294">
                  <c:v>106</c:v>
                </c:pt>
                <c:pt idx="295">
                  <c:v>106</c:v>
                </c:pt>
                <c:pt idx="296">
                  <c:v>106</c:v>
                </c:pt>
                <c:pt idx="297">
                  <c:v>106</c:v>
                </c:pt>
                <c:pt idx="298">
                  <c:v>106</c:v>
                </c:pt>
                <c:pt idx="299">
                  <c:v>106</c:v>
                </c:pt>
                <c:pt idx="300">
                  <c:v>106</c:v>
                </c:pt>
                <c:pt idx="301">
                  <c:v>106</c:v>
                </c:pt>
                <c:pt idx="302">
                  <c:v>106</c:v>
                </c:pt>
                <c:pt idx="303">
                  <c:v>106</c:v>
                </c:pt>
                <c:pt idx="304">
                  <c:v>106</c:v>
                </c:pt>
                <c:pt idx="305">
                  <c:v>106</c:v>
                </c:pt>
                <c:pt idx="306">
                  <c:v>106</c:v>
                </c:pt>
                <c:pt idx="307">
                  <c:v>106</c:v>
                </c:pt>
                <c:pt idx="308">
                  <c:v>106</c:v>
                </c:pt>
                <c:pt idx="309">
                  <c:v>107</c:v>
                </c:pt>
                <c:pt idx="310">
                  <c:v>107</c:v>
                </c:pt>
                <c:pt idx="311">
                  <c:v>107</c:v>
                </c:pt>
                <c:pt idx="312">
                  <c:v>107</c:v>
                </c:pt>
                <c:pt idx="313">
                  <c:v>107</c:v>
                </c:pt>
                <c:pt idx="314">
                  <c:v>107</c:v>
                </c:pt>
                <c:pt idx="315">
                  <c:v>107</c:v>
                </c:pt>
                <c:pt idx="316">
                  <c:v>106</c:v>
                </c:pt>
                <c:pt idx="317">
                  <c:v>106</c:v>
                </c:pt>
                <c:pt idx="318">
                  <c:v>106</c:v>
                </c:pt>
                <c:pt idx="319">
                  <c:v>106</c:v>
                </c:pt>
                <c:pt idx="320">
                  <c:v>106</c:v>
                </c:pt>
                <c:pt idx="321">
                  <c:v>106</c:v>
                </c:pt>
                <c:pt idx="322">
                  <c:v>106</c:v>
                </c:pt>
                <c:pt idx="323">
                  <c:v>106</c:v>
                </c:pt>
                <c:pt idx="324">
                  <c:v>106</c:v>
                </c:pt>
                <c:pt idx="325">
                  <c:v>106</c:v>
                </c:pt>
                <c:pt idx="326">
                  <c:v>106</c:v>
                </c:pt>
                <c:pt idx="327">
                  <c:v>106</c:v>
                </c:pt>
                <c:pt idx="328">
                  <c:v>106</c:v>
                </c:pt>
                <c:pt idx="329">
                  <c:v>106</c:v>
                </c:pt>
                <c:pt idx="330">
                  <c:v>106</c:v>
                </c:pt>
                <c:pt idx="331">
                  <c:v>106</c:v>
                </c:pt>
                <c:pt idx="332">
                  <c:v>106</c:v>
                </c:pt>
                <c:pt idx="333">
                  <c:v>106</c:v>
                </c:pt>
                <c:pt idx="334">
                  <c:v>106</c:v>
                </c:pt>
                <c:pt idx="335">
                  <c:v>106</c:v>
                </c:pt>
                <c:pt idx="336">
                  <c:v>106</c:v>
                </c:pt>
                <c:pt idx="337">
                  <c:v>107</c:v>
                </c:pt>
                <c:pt idx="338">
                  <c:v>107</c:v>
                </c:pt>
                <c:pt idx="339">
                  <c:v>107</c:v>
                </c:pt>
                <c:pt idx="340">
                  <c:v>107</c:v>
                </c:pt>
                <c:pt idx="341">
                  <c:v>107</c:v>
                </c:pt>
                <c:pt idx="342">
                  <c:v>107</c:v>
                </c:pt>
                <c:pt idx="343">
                  <c:v>107</c:v>
                </c:pt>
                <c:pt idx="344">
                  <c:v>106</c:v>
                </c:pt>
                <c:pt idx="345">
                  <c:v>106</c:v>
                </c:pt>
                <c:pt idx="346">
                  <c:v>106</c:v>
                </c:pt>
                <c:pt idx="347">
                  <c:v>106</c:v>
                </c:pt>
                <c:pt idx="348">
                  <c:v>106</c:v>
                </c:pt>
                <c:pt idx="349">
                  <c:v>106</c:v>
                </c:pt>
                <c:pt idx="350">
                  <c:v>106</c:v>
                </c:pt>
                <c:pt idx="351">
                  <c:v>106</c:v>
                </c:pt>
                <c:pt idx="352">
                  <c:v>106</c:v>
                </c:pt>
                <c:pt idx="353">
                  <c:v>106</c:v>
                </c:pt>
                <c:pt idx="354">
                  <c:v>106</c:v>
                </c:pt>
                <c:pt idx="355">
                  <c:v>106</c:v>
                </c:pt>
                <c:pt idx="356">
                  <c:v>106</c:v>
                </c:pt>
                <c:pt idx="357">
                  <c:v>106</c:v>
                </c:pt>
                <c:pt idx="358">
                  <c:v>107</c:v>
                </c:pt>
                <c:pt idx="359">
                  <c:v>107</c:v>
                </c:pt>
                <c:pt idx="360">
                  <c:v>107</c:v>
                </c:pt>
                <c:pt idx="361">
                  <c:v>107</c:v>
                </c:pt>
                <c:pt idx="362">
                  <c:v>107</c:v>
                </c:pt>
                <c:pt idx="363">
                  <c:v>107</c:v>
                </c:pt>
                <c:pt idx="364">
                  <c:v>107</c:v>
                </c:pt>
                <c:pt idx="365">
                  <c:v>107</c:v>
                </c:pt>
                <c:pt idx="366">
                  <c:v>107</c:v>
                </c:pt>
                <c:pt idx="367">
                  <c:v>107</c:v>
                </c:pt>
                <c:pt idx="368">
                  <c:v>107</c:v>
                </c:pt>
                <c:pt idx="369">
                  <c:v>107</c:v>
                </c:pt>
                <c:pt idx="370">
                  <c:v>107</c:v>
                </c:pt>
                <c:pt idx="371">
                  <c:v>107</c:v>
                </c:pt>
                <c:pt idx="372">
                  <c:v>107</c:v>
                </c:pt>
                <c:pt idx="373">
                  <c:v>107</c:v>
                </c:pt>
                <c:pt idx="374">
                  <c:v>107</c:v>
                </c:pt>
                <c:pt idx="375">
                  <c:v>107</c:v>
                </c:pt>
                <c:pt idx="376">
                  <c:v>107</c:v>
                </c:pt>
                <c:pt idx="377">
                  <c:v>107</c:v>
                </c:pt>
                <c:pt idx="378">
                  <c:v>107</c:v>
                </c:pt>
                <c:pt idx="379">
                  <c:v>106</c:v>
                </c:pt>
                <c:pt idx="380">
                  <c:v>106</c:v>
                </c:pt>
                <c:pt idx="381">
                  <c:v>106</c:v>
                </c:pt>
                <c:pt idx="382">
                  <c:v>106</c:v>
                </c:pt>
                <c:pt idx="383">
                  <c:v>106</c:v>
                </c:pt>
                <c:pt idx="384">
                  <c:v>106</c:v>
                </c:pt>
                <c:pt idx="385">
                  <c:v>106</c:v>
                </c:pt>
                <c:pt idx="386">
                  <c:v>106</c:v>
                </c:pt>
                <c:pt idx="387">
                  <c:v>106</c:v>
                </c:pt>
                <c:pt idx="388">
                  <c:v>106</c:v>
                </c:pt>
                <c:pt idx="389">
                  <c:v>106</c:v>
                </c:pt>
                <c:pt idx="390">
                  <c:v>106</c:v>
                </c:pt>
                <c:pt idx="391">
                  <c:v>106</c:v>
                </c:pt>
                <c:pt idx="392">
                  <c:v>106</c:v>
                </c:pt>
                <c:pt idx="393">
                  <c:v>106</c:v>
                </c:pt>
                <c:pt idx="394">
                  <c:v>106</c:v>
                </c:pt>
                <c:pt idx="395">
                  <c:v>106</c:v>
                </c:pt>
                <c:pt idx="396">
                  <c:v>106</c:v>
                </c:pt>
                <c:pt idx="397">
                  <c:v>106</c:v>
                </c:pt>
                <c:pt idx="398">
                  <c:v>106</c:v>
                </c:pt>
                <c:pt idx="399">
                  <c:v>106</c:v>
                </c:pt>
                <c:pt idx="400">
                  <c:v>106</c:v>
                </c:pt>
                <c:pt idx="401">
                  <c:v>106</c:v>
                </c:pt>
                <c:pt idx="402">
                  <c:v>106</c:v>
                </c:pt>
                <c:pt idx="403">
                  <c:v>106</c:v>
                </c:pt>
                <c:pt idx="404">
                  <c:v>106</c:v>
                </c:pt>
                <c:pt idx="405">
                  <c:v>106</c:v>
                </c:pt>
                <c:pt idx="406">
                  <c:v>106</c:v>
                </c:pt>
                <c:pt idx="407">
                  <c:v>108</c:v>
                </c:pt>
                <c:pt idx="408">
                  <c:v>108</c:v>
                </c:pt>
                <c:pt idx="409">
                  <c:v>108</c:v>
                </c:pt>
                <c:pt idx="410">
                  <c:v>108</c:v>
                </c:pt>
                <c:pt idx="411">
                  <c:v>108</c:v>
                </c:pt>
                <c:pt idx="412">
                  <c:v>108</c:v>
                </c:pt>
                <c:pt idx="413">
                  <c:v>108</c:v>
                </c:pt>
                <c:pt idx="414">
                  <c:v>108</c:v>
                </c:pt>
                <c:pt idx="415">
                  <c:v>108</c:v>
                </c:pt>
                <c:pt idx="416">
                  <c:v>108</c:v>
                </c:pt>
                <c:pt idx="417">
                  <c:v>108</c:v>
                </c:pt>
                <c:pt idx="418">
                  <c:v>108</c:v>
                </c:pt>
                <c:pt idx="419">
                  <c:v>108</c:v>
                </c:pt>
                <c:pt idx="420">
                  <c:v>108</c:v>
                </c:pt>
                <c:pt idx="421">
                  <c:v>108</c:v>
                </c:pt>
                <c:pt idx="422">
                  <c:v>108</c:v>
                </c:pt>
                <c:pt idx="423">
                  <c:v>108</c:v>
                </c:pt>
                <c:pt idx="424">
                  <c:v>108</c:v>
                </c:pt>
                <c:pt idx="425">
                  <c:v>108</c:v>
                </c:pt>
                <c:pt idx="426">
                  <c:v>108</c:v>
                </c:pt>
                <c:pt idx="427">
                  <c:v>108</c:v>
                </c:pt>
                <c:pt idx="428">
                  <c:v>108</c:v>
                </c:pt>
                <c:pt idx="429">
                  <c:v>108</c:v>
                </c:pt>
                <c:pt idx="430">
                  <c:v>108</c:v>
                </c:pt>
                <c:pt idx="431">
                  <c:v>108</c:v>
                </c:pt>
                <c:pt idx="432">
                  <c:v>108</c:v>
                </c:pt>
                <c:pt idx="433">
                  <c:v>108</c:v>
                </c:pt>
                <c:pt idx="434">
                  <c:v>108</c:v>
                </c:pt>
                <c:pt idx="435">
                  <c:v>108</c:v>
                </c:pt>
                <c:pt idx="436">
                  <c:v>108</c:v>
                </c:pt>
                <c:pt idx="437">
                  <c:v>108</c:v>
                </c:pt>
                <c:pt idx="438">
                  <c:v>108</c:v>
                </c:pt>
                <c:pt idx="439">
                  <c:v>108</c:v>
                </c:pt>
                <c:pt idx="440">
                  <c:v>108</c:v>
                </c:pt>
                <c:pt idx="441">
                  <c:v>108</c:v>
                </c:pt>
                <c:pt idx="442">
                  <c:v>108</c:v>
                </c:pt>
                <c:pt idx="443">
                  <c:v>108</c:v>
                </c:pt>
                <c:pt idx="444">
                  <c:v>108</c:v>
                </c:pt>
                <c:pt idx="445">
                  <c:v>108</c:v>
                </c:pt>
                <c:pt idx="446">
                  <c:v>108</c:v>
                </c:pt>
                <c:pt idx="447">
                  <c:v>108</c:v>
                </c:pt>
                <c:pt idx="448">
                  <c:v>108</c:v>
                </c:pt>
                <c:pt idx="449">
                  <c:v>108</c:v>
                </c:pt>
                <c:pt idx="450">
                  <c:v>108</c:v>
                </c:pt>
                <c:pt idx="451">
                  <c:v>108</c:v>
                </c:pt>
                <c:pt idx="452">
                  <c:v>108</c:v>
                </c:pt>
                <c:pt idx="453">
                  <c:v>108</c:v>
                </c:pt>
                <c:pt idx="454">
                  <c:v>108</c:v>
                </c:pt>
                <c:pt idx="455">
                  <c:v>108</c:v>
                </c:pt>
                <c:pt idx="456">
                  <c:v>108</c:v>
                </c:pt>
                <c:pt idx="457">
                  <c:v>108</c:v>
                </c:pt>
                <c:pt idx="458">
                  <c:v>108</c:v>
                </c:pt>
                <c:pt idx="459">
                  <c:v>108</c:v>
                </c:pt>
                <c:pt idx="460">
                  <c:v>108</c:v>
                </c:pt>
                <c:pt idx="461">
                  <c:v>108</c:v>
                </c:pt>
                <c:pt idx="462">
                  <c:v>108</c:v>
                </c:pt>
                <c:pt idx="463">
                  <c:v>108</c:v>
                </c:pt>
                <c:pt idx="464">
                  <c:v>108</c:v>
                </c:pt>
                <c:pt idx="465">
                  <c:v>108</c:v>
                </c:pt>
                <c:pt idx="466">
                  <c:v>108</c:v>
                </c:pt>
                <c:pt idx="467">
                  <c:v>108</c:v>
                </c:pt>
                <c:pt idx="468">
                  <c:v>108</c:v>
                </c:pt>
                <c:pt idx="469">
                  <c:v>108</c:v>
                </c:pt>
                <c:pt idx="470">
                  <c:v>108</c:v>
                </c:pt>
                <c:pt idx="471">
                  <c:v>108</c:v>
                </c:pt>
                <c:pt idx="472">
                  <c:v>108</c:v>
                </c:pt>
                <c:pt idx="473">
                  <c:v>108</c:v>
                </c:pt>
                <c:pt idx="474">
                  <c:v>108</c:v>
                </c:pt>
                <c:pt idx="475">
                  <c:v>108</c:v>
                </c:pt>
                <c:pt idx="476">
                  <c:v>108</c:v>
                </c:pt>
                <c:pt idx="477">
                  <c:v>108</c:v>
                </c:pt>
                <c:pt idx="478">
                  <c:v>108</c:v>
                </c:pt>
                <c:pt idx="479">
                  <c:v>108</c:v>
                </c:pt>
                <c:pt idx="480">
                  <c:v>108</c:v>
                </c:pt>
                <c:pt idx="481">
                  <c:v>108</c:v>
                </c:pt>
                <c:pt idx="482">
                  <c:v>108</c:v>
                </c:pt>
                <c:pt idx="483">
                  <c:v>108</c:v>
                </c:pt>
                <c:pt idx="484">
                  <c:v>108</c:v>
                </c:pt>
                <c:pt idx="485">
                  <c:v>108</c:v>
                </c:pt>
                <c:pt idx="486">
                  <c:v>108</c:v>
                </c:pt>
                <c:pt idx="487">
                  <c:v>108</c:v>
                </c:pt>
                <c:pt idx="488">
                  <c:v>108</c:v>
                </c:pt>
                <c:pt idx="489">
                  <c:v>108</c:v>
                </c:pt>
                <c:pt idx="490">
                  <c:v>108</c:v>
                </c:pt>
                <c:pt idx="491">
                  <c:v>107</c:v>
                </c:pt>
                <c:pt idx="492">
                  <c:v>107</c:v>
                </c:pt>
                <c:pt idx="493">
                  <c:v>107</c:v>
                </c:pt>
                <c:pt idx="494">
                  <c:v>107</c:v>
                </c:pt>
                <c:pt idx="495">
                  <c:v>107</c:v>
                </c:pt>
                <c:pt idx="496">
                  <c:v>107</c:v>
                </c:pt>
                <c:pt idx="497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8-44ED-86AE-0A90898DD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379256"/>
        <c:axId val="390378600"/>
      </c:areaChart>
      <c:lineChart>
        <c:grouping val="standard"/>
        <c:varyColors val="0"/>
        <c:ser>
          <c:idx val="1"/>
          <c:order val="0"/>
          <c:tx>
            <c:strRef>
              <c:f>'tuot-PVÄ'!$AH$2</c:f>
              <c:strCache>
                <c:ptCount val="1"/>
                <c:pt idx="0">
                  <c:v>rehun kulutus (g/kana, 3pv ka)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'tuot-PVÄ'!$B$3:$B$500</c:f>
              <c:numCache>
                <c:formatCode>General</c:formatCode>
                <c:ptCount val="498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23</c:v>
                </c:pt>
                <c:pt idx="40">
                  <c:v>23</c:v>
                </c:pt>
                <c:pt idx="41">
                  <c:v>23</c:v>
                </c:pt>
                <c:pt idx="42">
                  <c:v>23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26</c:v>
                </c:pt>
                <c:pt idx="62">
                  <c:v>26</c:v>
                </c:pt>
                <c:pt idx="63">
                  <c:v>26</c:v>
                </c:pt>
                <c:pt idx="64">
                  <c:v>27</c:v>
                </c:pt>
                <c:pt idx="65">
                  <c:v>27</c:v>
                </c:pt>
                <c:pt idx="66">
                  <c:v>27</c:v>
                </c:pt>
                <c:pt idx="67">
                  <c:v>27</c:v>
                </c:pt>
                <c:pt idx="68">
                  <c:v>27</c:v>
                </c:pt>
                <c:pt idx="69">
                  <c:v>27</c:v>
                </c:pt>
                <c:pt idx="70">
                  <c:v>27</c:v>
                </c:pt>
                <c:pt idx="71">
                  <c:v>28</c:v>
                </c:pt>
                <c:pt idx="72">
                  <c:v>28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30</c:v>
                </c:pt>
                <c:pt idx="89">
                  <c:v>30</c:v>
                </c:pt>
                <c:pt idx="90">
                  <c:v>30</c:v>
                </c:pt>
                <c:pt idx="91">
                  <c:v>30</c:v>
                </c:pt>
                <c:pt idx="92">
                  <c:v>31</c:v>
                </c:pt>
                <c:pt idx="93">
                  <c:v>31</c:v>
                </c:pt>
                <c:pt idx="94">
                  <c:v>31</c:v>
                </c:pt>
                <c:pt idx="95">
                  <c:v>31</c:v>
                </c:pt>
                <c:pt idx="96">
                  <c:v>31</c:v>
                </c:pt>
                <c:pt idx="97">
                  <c:v>31</c:v>
                </c:pt>
                <c:pt idx="98">
                  <c:v>31</c:v>
                </c:pt>
                <c:pt idx="99">
                  <c:v>32</c:v>
                </c:pt>
                <c:pt idx="100">
                  <c:v>32</c:v>
                </c:pt>
                <c:pt idx="101">
                  <c:v>32</c:v>
                </c:pt>
                <c:pt idx="102">
                  <c:v>32</c:v>
                </c:pt>
                <c:pt idx="103">
                  <c:v>32</c:v>
                </c:pt>
                <c:pt idx="104">
                  <c:v>32</c:v>
                </c:pt>
                <c:pt idx="105">
                  <c:v>32</c:v>
                </c:pt>
                <c:pt idx="106">
                  <c:v>33</c:v>
                </c:pt>
                <c:pt idx="107">
                  <c:v>33</c:v>
                </c:pt>
                <c:pt idx="108">
                  <c:v>33</c:v>
                </c:pt>
                <c:pt idx="109">
                  <c:v>33</c:v>
                </c:pt>
                <c:pt idx="110">
                  <c:v>33</c:v>
                </c:pt>
                <c:pt idx="111">
                  <c:v>33</c:v>
                </c:pt>
                <c:pt idx="112">
                  <c:v>33</c:v>
                </c:pt>
                <c:pt idx="113">
                  <c:v>34</c:v>
                </c:pt>
                <c:pt idx="114">
                  <c:v>34</c:v>
                </c:pt>
                <c:pt idx="115">
                  <c:v>34</c:v>
                </c:pt>
                <c:pt idx="116">
                  <c:v>34</c:v>
                </c:pt>
                <c:pt idx="117">
                  <c:v>34</c:v>
                </c:pt>
                <c:pt idx="118">
                  <c:v>34</c:v>
                </c:pt>
                <c:pt idx="119">
                  <c:v>34</c:v>
                </c:pt>
                <c:pt idx="120">
                  <c:v>35</c:v>
                </c:pt>
                <c:pt idx="121">
                  <c:v>35</c:v>
                </c:pt>
                <c:pt idx="122">
                  <c:v>35</c:v>
                </c:pt>
                <c:pt idx="123">
                  <c:v>35</c:v>
                </c:pt>
                <c:pt idx="124">
                  <c:v>35</c:v>
                </c:pt>
                <c:pt idx="125">
                  <c:v>35</c:v>
                </c:pt>
                <c:pt idx="126">
                  <c:v>35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36</c:v>
                </c:pt>
                <c:pt idx="132">
                  <c:v>36</c:v>
                </c:pt>
                <c:pt idx="133">
                  <c:v>36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38</c:v>
                </c:pt>
                <c:pt idx="142">
                  <c:v>38</c:v>
                </c:pt>
                <c:pt idx="143">
                  <c:v>38</c:v>
                </c:pt>
                <c:pt idx="144">
                  <c:v>38</c:v>
                </c:pt>
                <c:pt idx="145">
                  <c:v>38</c:v>
                </c:pt>
                <c:pt idx="146">
                  <c:v>38</c:v>
                </c:pt>
                <c:pt idx="147">
                  <c:v>38</c:v>
                </c:pt>
                <c:pt idx="148">
                  <c:v>39</c:v>
                </c:pt>
                <c:pt idx="149">
                  <c:v>39</c:v>
                </c:pt>
                <c:pt idx="150">
                  <c:v>39</c:v>
                </c:pt>
                <c:pt idx="151">
                  <c:v>39</c:v>
                </c:pt>
                <c:pt idx="152">
                  <c:v>39</c:v>
                </c:pt>
                <c:pt idx="153">
                  <c:v>39</c:v>
                </c:pt>
                <c:pt idx="154">
                  <c:v>39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41</c:v>
                </c:pt>
                <c:pt idx="163">
                  <c:v>41</c:v>
                </c:pt>
                <c:pt idx="164">
                  <c:v>41</c:v>
                </c:pt>
                <c:pt idx="165">
                  <c:v>41</c:v>
                </c:pt>
                <c:pt idx="166">
                  <c:v>41</c:v>
                </c:pt>
                <c:pt idx="167">
                  <c:v>41</c:v>
                </c:pt>
                <c:pt idx="168">
                  <c:v>41</c:v>
                </c:pt>
                <c:pt idx="169">
                  <c:v>42</c:v>
                </c:pt>
                <c:pt idx="170">
                  <c:v>42</c:v>
                </c:pt>
                <c:pt idx="171">
                  <c:v>42</c:v>
                </c:pt>
                <c:pt idx="172">
                  <c:v>42</c:v>
                </c:pt>
                <c:pt idx="173">
                  <c:v>42</c:v>
                </c:pt>
                <c:pt idx="174">
                  <c:v>42</c:v>
                </c:pt>
                <c:pt idx="175">
                  <c:v>42</c:v>
                </c:pt>
                <c:pt idx="176">
                  <c:v>43</c:v>
                </c:pt>
                <c:pt idx="177">
                  <c:v>43</c:v>
                </c:pt>
                <c:pt idx="178">
                  <c:v>43</c:v>
                </c:pt>
                <c:pt idx="179">
                  <c:v>43</c:v>
                </c:pt>
                <c:pt idx="180">
                  <c:v>43</c:v>
                </c:pt>
                <c:pt idx="181">
                  <c:v>43</c:v>
                </c:pt>
                <c:pt idx="182">
                  <c:v>43</c:v>
                </c:pt>
                <c:pt idx="183">
                  <c:v>44</c:v>
                </c:pt>
                <c:pt idx="184">
                  <c:v>44</c:v>
                </c:pt>
                <c:pt idx="185">
                  <c:v>44</c:v>
                </c:pt>
                <c:pt idx="186">
                  <c:v>44</c:v>
                </c:pt>
                <c:pt idx="187">
                  <c:v>44</c:v>
                </c:pt>
                <c:pt idx="188">
                  <c:v>44</c:v>
                </c:pt>
                <c:pt idx="189">
                  <c:v>44</c:v>
                </c:pt>
                <c:pt idx="190">
                  <c:v>45</c:v>
                </c:pt>
                <c:pt idx="191">
                  <c:v>45</c:v>
                </c:pt>
                <c:pt idx="192">
                  <c:v>45</c:v>
                </c:pt>
                <c:pt idx="193">
                  <c:v>45</c:v>
                </c:pt>
                <c:pt idx="194">
                  <c:v>45</c:v>
                </c:pt>
                <c:pt idx="195">
                  <c:v>45</c:v>
                </c:pt>
                <c:pt idx="196">
                  <c:v>45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47</c:v>
                </c:pt>
                <c:pt idx="205">
                  <c:v>47</c:v>
                </c:pt>
                <c:pt idx="206">
                  <c:v>47</c:v>
                </c:pt>
                <c:pt idx="207">
                  <c:v>47</c:v>
                </c:pt>
                <c:pt idx="208">
                  <c:v>47</c:v>
                </c:pt>
                <c:pt idx="209">
                  <c:v>47</c:v>
                </c:pt>
                <c:pt idx="210">
                  <c:v>47</c:v>
                </c:pt>
                <c:pt idx="211">
                  <c:v>48</c:v>
                </c:pt>
                <c:pt idx="212">
                  <c:v>48</c:v>
                </c:pt>
                <c:pt idx="213">
                  <c:v>48</c:v>
                </c:pt>
                <c:pt idx="214">
                  <c:v>48</c:v>
                </c:pt>
                <c:pt idx="215">
                  <c:v>48</c:v>
                </c:pt>
                <c:pt idx="216">
                  <c:v>48</c:v>
                </c:pt>
                <c:pt idx="217">
                  <c:v>48</c:v>
                </c:pt>
                <c:pt idx="218">
                  <c:v>49</c:v>
                </c:pt>
                <c:pt idx="219">
                  <c:v>49</c:v>
                </c:pt>
                <c:pt idx="220">
                  <c:v>49</c:v>
                </c:pt>
                <c:pt idx="221">
                  <c:v>49</c:v>
                </c:pt>
                <c:pt idx="222">
                  <c:v>49</c:v>
                </c:pt>
                <c:pt idx="223">
                  <c:v>49</c:v>
                </c:pt>
                <c:pt idx="224">
                  <c:v>49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51</c:v>
                </c:pt>
                <c:pt idx="233">
                  <c:v>51</c:v>
                </c:pt>
                <c:pt idx="234">
                  <c:v>51</c:v>
                </c:pt>
                <c:pt idx="235">
                  <c:v>51</c:v>
                </c:pt>
                <c:pt idx="236">
                  <c:v>51</c:v>
                </c:pt>
                <c:pt idx="237">
                  <c:v>51</c:v>
                </c:pt>
                <c:pt idx="238">
                  <c:v>51</c:v>
                </c:pt>
                <c:pt idx="239">
                  <c:v>52</c:v>
                </c:pt>
                <c:pt idx="240">
                  <c:v>52</c:v>
                </c:pt>
                <c:pt idx="241">
                  <c:v>52</c:v>
                </c:pt>
                <c:pt idx="242">
                  <c:v>52</c:v>
                </c:pt>
                <c:pt idx="243">
                  <c:v>52</c:v>
                </c:pt>
                <c:pt idx="244">
                  <c:v>52</c:v>
                </c:pt>
                <c:pt idx="245">
                  <c:v>52</c:v>
                </c:pt>
                <c:pt idx="246">
                  <c:v>53</c:v>
                </c:pt>
                <c:pt idx="247">
                  <c:v>53</c:v>
                </c:pt>
                <c:pt idx="248">
                  <c:v>53</c:v>
                </c:pt>
                <c:pt idx="249">
                  <c:v>53</c:v>
                </c:pt>
                <c:pt idx="250">
                  <c:v>53</c:v>
                </c:pt>
                <c:pt idx="251">
                  <c:v>53</c:v>
                </c:pt>
                <c:pt idx="252">
                  <c:v>53</c:v>
                </c:pt>
                <c:pt idx="253">
                  <c:v>54</c:v>
                </c:pt>
                <c:pt idx="254">
                  <c:v>54</c:v>
                </c:pt>
                <c:pt idx="255">
                  <c:v>54</c:v>
                </c:pt>
                <c:pt idx="256">
                  <c:v>54</c:v>
                </c:pt>
                <c:pt idx="257">
                  <c:v>54</c:v>
                </c:pt>
                <c:pt idx="258">
                  <c:v>54</c:v>
                </c:pt>
                <c:pt idx="259">
                  <c:v>54</c:v>
                </c:pt>
                <c:pt idx="260">
                  <c:v>55</c:v>
                </c:pt>
                <c:pt idx="261">
                  <c:v>55</c:v>
                </c:pt>
                <c:pt idx="262">
                  <c:v>55</c:v>
                </c:pt>
                <c:pt idx="263">
                  <c:v>55</c:v>
                </c:pt>
                <c:pt idx="264">
                  <c:v>55</c:v>
                </c:pt>
                <c:pt idx="265">
                  <c:v>55</c:v>
                </c:pt>
                <c:pt idx="266">
                  <c:v>55</c:v>
                </c:pt>
                <c:pt idx="267">
                  <c:v>56</c:v>
                </c:pt>
                <c:pt idx="268">
                  <c:v>56</c:v>
                </c:pt>
                <c:pt idx="269">
                  <c:v>56</c:v>
                </c:pt>
                <c:pt idx="270">
                  <c:v>56</c:v>
                </c:pt>
                <c:pt idx="271">
                  <c:v>56</c:v>
                </c:pt>
                <c:pt idx="272">
                  <c:v>56</c:v>
                </c:pt>
                <c:pt idx="273">
                  <c:v>56</c:v>
                </c:pt>
                <c:pt idx="274">
                  <c:v>57</c:v>
                </c:pt>
                <c:pt idx="275">
                  <c:v>57</c:v>
                </c:pt>
                <c:pt idx="276">
                  <c:v>57</c:v>
                </c:pt>
                <c:pt idx="277">
                  <c:v>57</c:v>
                </c:pt>
                <c:pt idx="278">
                  <c:v>57</c:v>
                </c:pt>
                <c:pt idx="279">
                  <c:v>57</c:v>
                </c:pt>
                <c:pt idx="280">
                  <c:v>57</c:v>
                </c:pt>
                <c:pt idx="281">
                  <c:v>58</c:v>
                </c:pt>
                <c:pt idx="282">
                  <c:v>58</c:v>
                </c:pt>
                <c:pt idx="283">
                  <c:v>58</c:v>
                </c:pt>
                <c:pt idx="284">
                  <c:v>58</c:v>
                </c:pt>
                <c:pt idx="285">
                  <c:v>58</c:v>
                </c:pt>
                <c:pt idx="286">
                  <c:v>58</c:v>
                </c:pt>
                <c:pt idx="287">
                  <c:v>58</c:v>
                </c:pt>
                <c:pt idx="288">
                  <c:v>59</c:v>
                </c:pt>
                <c:pt idx="289">
                  <c:v>59</c:v>
                </c:pt>
                <c:pt idx="290">
                  <c:v>59</c:v>
                </c:pt>
                <c:pt idx="291">
                  <c:v>59</c:v>
                </c:pt>
                <c:pt idx="292">
                  <c:v>59</c:v>
                </c:pt>
                <c:pt idx="293">
                  <c:v>59</c:v>
                </c:pt>
                <c:pt idx="294">
                  <c:v>59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61</c:v>
                </c:pt>
                <c:pt idx="303">
                  <c:v>61</c:v>
                </c:pt>
                <c:pt idx="304">
                  <c:v>61</c:v>
                </c:pt>
                <c:pt idx="305">
                  <c:v>61</c:v>
                </c:pt>
                <c:pt idx="306">
                  <c:v>61</c:v>
                </c:pt>
                <c:pt idx="307">
                  <c:v>61</c:v>
                </c:pt>
                <c:pt idx="308">
                  <c:v>61</c:v>
                </c:pt>
                <c:pt idx="309">
                  <c:v>62</c:v>
                </c:pt>
                <c:pt idx="310">
                  <c:v>62</c:v>
                </c:pt>
                <c:pt idx="311">
                  <c:v>62</c:v>
                </c:pt>
                <c:pt idx="312">
                  <c:v>62</c:v>
                </c:pt>
                <c:pt idx="313">
                  <c:v>62</c:v>
                </c:pt>
                <c:pt idx="314">
                  <c:v>62</c:v>
                </c:pt>
                <c:pt idx="315">
                  <c:v>62</c:v>
                </c:pt>
                <c:pt idx="316">
                  <c:v>63</c:v>
                </c:pt>
                <c:pt idx="317">
                  <c:v>63</c:v>
                </c:pt>
                <c:pt idx="318">
                  <c:v>63</c:v>
                </c:pt>
                <c:pt idx="319">
                  <c:v>63</c:v>
                </c:pt>
                <c:pt idx="320">
                  <c:v>63</c:v>
                </c:pt>
                <c:pt idx="321">
                  <c:v>63</c:v>
                </c:pt>
                <c:pt idx="322">
                  <c:v>63</c:v>
                </c:pt>
                <c:pt idx="323">
                  <c:v>64</c:v>
                </c:pt>
                <c:pt idx="324">
                  <c:v>64</c:v>
                </c:pt>
                <c:pt idx="325">
                  <c:v>64</c:v>
                </c:pt>
                <c:pt idx="326">
                  <c:v>64</c:v>
                </c:pt>
                <c:pt idx="327">
                  <c:v>64</c:v>
                </c:pt>
                <c:pt idx="328">
                  <c:v>64</c:v>
                </c:pt>
                <c:pt idx="329">
                  <c:v>64</c:v>
                </c:pt>
                <c:pt idx="330">
                  <c:v>65</c:v>
                </c:pt>
                <c:pt idx="331">
                  <c:v>65</c:v>
                </c:pt>
                <c:pt idx="332">
                  <c:v>65</c:v>
                </c:pt>
                <c:pt idx="333">
                  <c:v>65</c:v>
                </c:pt>
                <c:pt idx="334">
                  <c:v>65</c:v>
                </c:pt>
                <c:pt idx="335">
                  <c:v>65</c:v>
                </c:pt>
                <c:pt idx="336">
                  <c:v>65</c:v>
                </c:pt>
                <c:pt idx="337">
                  <c:v>66</c:v>
                </c:pt>
                <c:pt idx="338">
                  <c:v>66</c:v>
                </c:pt>
                <c:pt idx="339">
                  <c:v>66</c:v>
                </c:pt>
                <c:pt idx="340">
                  <c:v>66</c:v>
                </c:pt>
                <c:pt idx="341">
                  <c:v>66</c:v>
                </c:pt>
                <c:pt idx="342">
                  <c:v>66</c:v>
                </c:pt>
                <c:pt idx="343">
                  <c:v>66</c:v>
                </c:pt>
                <c:pt idx="344">
                  <c:v>67</c:v>
                </c:pt>
                <c:pt idx="345">
                  <c:v>67</c:v>
                </c:pt>
                <c:pt idx="346">
                  <c:v>67</c:v>
                </c:pt>
                <c:pt idx="347">
                  <c:v>67</c:v>
                </c:pt>
                <c:pt idx="348">
                  <c:v>67</c:v>
                </c:pt>
                <c:pt idx="349">
                  <c:v>67</c:v>
                </c:pt>
                <c:pt idx="350">
                  <c:v>67</c:v>
                </c:pt>
                <c:pt idx="351">
                  <c:v>68</c:v>
                </c:pt>
                <c:pt idx="352">
                  <c:v>68</c:v>
                </c:pt>
                <c:pt idx="353">
                  <c:v>68</c:v>
                </c:pt>
                <c:pt idx="354">
                  <c:v>68</c:v>
                </c:pt>
                <c:pt idx="355">
                  <c:v>68</c:v>
                </c:pt>
                <c:pt idx="356">
                  <c:v>68</c:v>
                </c:pt>
                <c:pt idx="357">
                  <c:v>68</c:v>
                </c:pt>
                <c:pt idx="358">
                  <c:v>69</c:v>
                </c:pt>
                <c:pt idx="359">
                  <c:v>69</c:v>
                </c:pt>
                <c:pt idx="360">
                  <c:v>69</c:v>
                </c:pt>
                <c:pt idx="361">
                  <c:v>69</c:v>
                </c:pt>
                <c:pt idx="362">
                  <c:v>69</c:v>
                </c:pt>
                <c:pt idx="363">
                  <c:v>69</c:v>
                </c:pt>
                <c:pt idx="364">
                  <c:v>69</c:v>
                </c:pt>
                <c:pt idx="365">
                  <c:v>70</c:v>
                </c:pt>
                <c:pt idx="366">
                  <c:v>70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71</c:v>
                </c:pt>
                <c:pt idx="373">
                  <c:v>71</c:v>
                </c:pt>
                <c:pt idx="374">
                  <c:v>71</c:v>
                </c:pt>
                <c:pt idx="375">
                  <c:v>71</c:v>
                </c:pt>
                <c:pt idx="376">
                  <c:v>71</c:v>
                </c:pt>
                <c:pt idx="377">
                  <c:v>71</c:v>
                </c:pt>
                <c:pt idx="378">
                  <c:v>71</c:v>
                </c:pt>
                <c:pt idx="379">
                  <c:v>72</c:v>
                </c:pt>
                <c:pt idx="380">
                  <c:v>72</c:v>
                </c:pt>
                <c:pt idx="381">
                  <c:v>72</c:v>
                </c:pt>
                <c:pt idx="382">
                  <c:v>72</c:v>
                </c:pt>
                <c:pt idx="383">
                  <c:v>72</c:v>
                </c:pt>
                <c:pt idx="384">
                  <c:v>72</c:v>
                </c:pt>
                <c:pt idx="385">
                  <c:v>72</c:v>
                </c:pt>
                <c:pt idx="386">
                  <c:v>73</c:v>
                </c:pt>
                <c:pt idx="387">
                  <c:v>73</c:v>
                </c:pt>
                <c:pt idx="388">
                  <c:v>73</c:v>
                </c:pt>
                <c:pt idx="389">
                  <c:v>73</c:v>
                </c:pt>
                <c:pt idx="390">
                  <c:v>73</c:v>
                </c:pt>
                <c:pt idx="391">
                  <c:v>73</c:v>
                </c:pt>
                <c:pt idx="392">
                  <c:v>73</c:v>
                </c:pt>
                <c:pt idx="393">
                  <c:v>74</c:v>
                </c:pt>
                <c:pt idx="394">
                  <c:v>74</c:v>
                </c:pt>
                <c:pt idx="395">
                  <c:v>74</c:v>
                </c:pt>
                <c:pt idx="396">
                  <c:v>74</c:v>
                </c:pt>
                <c:pt idx="397">
                  <c:v>74</c:v>
                </c:pt>
                <c:pt idx="398">
                  <c:v>74</c:v>
                </c:pt>
                <c:pt idx="399">
                  <c:v>74</c:v>
                </c:pt>
                <c:pt idx="400">
                  <c:v>75</c:v>
                </c:pt>
                <c:pt idx="401">
                  <c:v>75</c:v>
                </c:pt>
                <c:pt idx="402">
                  <c:v>75</c:v>
                </c:pt>
                <c:pt idx="403">
                  <c:v>75</c:v>
                </c:pt>
                <c:pt idx="404">
                  <c:v>75</c:v>
                </c:pt>
                <c:pt idx="405">
                  <c:v>75</c:v>
                </c:pt>
                <c:pt idx="406">
                  <c:v>75</c:v>
                </c:pt>
                <c:pt idx="407">
                  <c:v>76</c:v>
                </c:pt>
                <c:pt idx="408">
                  <c:v>76</c:v>
                </c:pt>
                <c:pt idx="409">
                  <c:v>76</c:v>
                </c:pt>
                <c:pt idx="410">
                  <c:v>76</c:v>
                </c:pt>
                <c:pt idx="411">
                  <c:v>76</c:v>
                </c:pt>
                <c:pt idx="412">
                  <c:v>76</c:v>
                </c:pt>
                <c:pt idx="413">
                  <c:v>76</c:v>
                </c:pt>
                <c:pt idx="414">
                  <c:v>77</c:v>
                </c:pt>
                <c:pt idx="415">
                  <c:v>77</c:v>
                </c:pt>
                <c:pt idx="416">
                  <c:v>77</c:v>
                </c:pt>
                <c:pt idx="417">
                  <c:v>77</c:v>
                </c:pt>
                <c:pt idx="418">
                  <c:v>77</c:v>
                </c:pt>
                <c:pt idx="419">
                  <c:v>77</c:v>
                </c:pt>
                <c:pt idx="420">
                  <c:v>77</c:v>
                </c:pt>
                <c:pt idx="421">
                  <c:v>78</c:v>
                </c:pt>
                <c:pt idx="422">
                  <c:v>78</c:v>
                </c:pt>
                <c:pt idx="423">
                  <c:v>78</c:v>
                </c:pt>
                <c:pt idx="424">
                  <c:v>78</c:v>
                </c:pt>
                <c:pt idx="425">
                  <c:v>78</c:v>
                </c:pt>
                <c:pt idx="426">
                  <c:v>78</c:v>
                </c:pt>
                <c:pt idx="427">
                  <c:v>78</c:v>
                </c:pt>
                <c:pt idx="428">
                  <c:v>79</c:v>
                </c:pt>
                <c:pt idx="429">
                  <c:v>79</c:v>
                </c:pt>
                <c:pt idx="430">
                  <c:v>79</c:v>
                </c:pt>
                <c:pt idx="431">
                  <c:v>79</c:v>
                </c:pt>
                <c:pt idx="432">
                  <c:v>79</c:v>
                </c:pt>
                <c:pt idx="433">
                  <c:v>79</c:v>
                </c:pt>
                <c:pt idx="434">
                  <c:v>79</c:v>
                </c:pt>
                <c:pt idx="435">
                  <c:v>80</c:v>
                </c:pt>
                <c:pt idx="436">
                  <c:v>80</c:v>
                </c:pt>
                <c:pt idx="437">
                  <c:v>80</c:v>
                </c:pt>
                <c:pt idx="438">
                  <c:v>80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81</c:v>
                </c:pt>
                <c:pt idx="443">
                  <c:v>81</c:v>
                </c:pt>
                <c:pt idx="444">
                  <c:v>81</c:v>
                </c:pt>
                <c:pt idx="445">
                  <c:v>81</c:v>
                </c:pt>
                <c:pt idx="446">
                  <c:v>81</c:v>
                </c:pt>
                <c:pt idx="447">
                  <c:v>81</c:v>
                </c:pt>
                <c:pt idx="448">
                  <c:v>81</c:v>
                </c:pt>
                <c:pt idx="449">
                  <c:v>82</c:v>
                </c:pt>
                <c:pt idx="450">
                  <c:v>82</c:v>
                </c:pt>
                <c:pt idx="451">
                  <c:v>82</c:v>
                </c:pt>
                <c:pt idx="452">
                  <c:v>82</c:v>
                </c:pt>
                <c:pt idx="453">
                  <c:v>82</c:v>
                </c:pt>
                <c:pt idx="454">
                  <c:v>82</c:v>
                </c:pt>
                <c:pt idx="455">
                  <c:v>82</c:v>
                </c:pt>
                <c:pt idx="456">
                  <c:v>83</c:v>
                </c:pt>
                <c:pt idx="457">
                  <c:v>83</c:v>
                </c:pt>
                <c:pt idx="458">
                  <c:v>83</c:v>
                </c:pt>
                <c:pt idx="459">
                  <c:v>83</c:v>
                </c:pt>
                <c:pt idx="460">
                  <c:v>83</c:v>
                </c:pt>
                <c:pt idx="461">
                  <c:v>83</c:v>
                </c:pt>
                <c:pt idx="462">
                  <c:v>83</c:v>
                </c:pt>
                <c:pt idx="463">
                  <c:v>84</c:v>
                </c:pt>
                <c:pt idx="464">
                  <c:v>84</c:v>
                </c:pt>
                <c:pt idx="465">
                  <c:v>84</c:v>
                </c:pt>
                <c:pt idx="466">
                  <c:v>84</c:v>
                </c:pt>
                <c:pt idx="467">
                  <c:v>84</c:v>
                </c:pt>
                <c:pt idx="468">
                  <c:v>84</c:v>
                </c:pt>
                <c:pt idx="469">
                  <c:v>84</c:v>
                </c:pt>
                <c:pt idx="470">
                  <c:v>85</c:v>
                </c:pt>
                <c:pt idx="471">
                  <c:v>85</c:v>
                </c:pt>
                <c:pt idx="472">
                  <c:v>85</c:v>
                </c:pt>
                <c:pt idx="473">
                  <c:v>85</c:v>
                </c:pt>
                <c:pt idx="474">
                  <c:v>85</c:v>
                </c:pt>
                <c:pt idx="475">
                  <c:v>85</c:v>
                </c:pt>
                <c:pt idx="476">
                  <c:v>85</c:v>
                </c:pt>
                <c:pt idx="477">
                  <c:v>86</c:v>
                </c:pt>
                <c:pt idx="478">
                  <c:v>86</c:v>
                </c:pt>
                <c:pt idx="479">
                  <c:v>86</c:v>
                </c:pt>
                <c:pt idx="480">
                  <c:v>86</c:v>
                </c:pt>
                <c:pt idx="481">
                  <c:v>86</c:v>
                </c:pt>
                <c:pt idx="482">
                  <c:v>86</c:v>
                </c:pt>
                <c:pt idx="483">
                  <c:v>86</c:v>
                </c:pt>
                <c:pt idx="484">
                  <c:v>87</c:v>
                </c:pt>
                <c:pt idx="485">
                  <c:v>87</c:v>
                </c:pt>
                <c:pt idx="486">
                  <c:v>87</c:v>
                </c:pt>
                <c:pt idx="487">
                  <c:v>87</c:v>
                </c:pt>
                <c:pt idx="488">
                  <c:v>87</c:v>
                </c:pt>
                <c:pt idx="489">
                  <c:v>87</c:v>
                </c:pt>
                <c:pt idx="490">
                  <c:v>87</c:v>
                </c:pt>
                <c:pt idx="491">
                  <c:v>88</c:v>
                </c:pt>
                <c:pt idx="492">
                  <c:v>88</c:v>
                </c:pt>
                <c:pt idx="493">
                  <c:v>88</c:v>
                </c:pt>
                <c:pt idx="494">
                  <c:v>88</c:v>
                </c:pt>
                <c:pt idx="495">
                  <c:v>88</c:v>
                </c:pt>
                <c:pt idx="496">
                  <c:v>88</c:v>
                </c:pt>
                <c:pt idx="497">
                  <c:v>88</c:v>
                </c:pt>
              </c:numCache>
            </c:numRef>
          </c:cat>
          <c:val>
            <c:numRef>
              <c:f>'tuot-PVÄ'!$AH$2:$AH$500</c:f>
              <c:numCache>
                <c:formatCode>0</c:formatCode>
                <c:ptCount val="499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3-40A4-BE4A-3AE2F6DBB910}"/>
            </c:ext>
          </c:extLst>
        </c:ser>
        <c:ser>
          <c:idx val="0"/>
          <c:order val="1"/>
          <c:tx>
            <c:strRef>
              <c:f>'tuot-PVÄ'!$J$1</c:f>
              <c:strCache>
                <c:ptCount val="1"/>
                <c:pt idx="0">
                  <c:v>munan paino (g)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B8-44ED-86AE-0A90898DD4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B8-44ED-86AE-0A90898DD4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B8-44ED-86AE-0A90898DD4B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B8-44ED-86AE-0A90898DD4B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B8-44ED-86AE-0A90898DD4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B8-44ED-86AE-0A90898DD4B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B8-44ED-86AE-0A90898DD4B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B8-44ED-86AE-0A90898DD4B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B8-44ED-86AE-0A90898DD4B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B8-44ED-86AE-0A90898DD4B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B8-44ED-86AE-0A90898DD4B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B8-44ED-86AE-0A90898DD4B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3B8-44ED-86AE-0A90898DD4B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3B8-44ED-86AE-0A90898DD4B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3B8-44ED-86AE-0A90898DD4B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3B8-44ED-86AE-0A90898DD4B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3B8-44ED-86AE-0A90898DD4B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3B8-44ED-86AE-0A90898DD4B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3B8-44ED-86AE-0A90898DD4B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3B8-44ED-86AE-0A90898DD4B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3B8-44ED-86AE-0A90898DD4B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3B8-44ED-86AE-0A90898DD4B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3B8-44ED-86AE-0A90898DD4B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3B8-44ED-86AE-0A90898DD4B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3B8-44ED-86AE-0A90898DD4B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3B8-44ED-86AE-0A90898DD4B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3B8-44ED-86AE-0A90898DD4B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3B8-44ED-86AE-0A90898DD4B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3B8-44ED-86AE-0A90898DD4B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3B8-44ED-86AE-0A90898DD4B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3B8-44ED-86AE-0A90898DD4B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3B8-44ED-86AE-0A90898DD4B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3B8-44ED-86AE-0A90898DD4B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3B8-44ED-86AE-0A90898DD4B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3B8-44ED-86AE-0A90898DD4B0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3B8-44ED-86AE-0A90898DD4B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3B8-44ED-86AE-0A90898DD4B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3B8-44ED-86AE-0A90898DD4B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3B8-44ED-86AE-0A90898DD4B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3B8-44ED-86AE-0A90898DD4B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3B8-44ED-86AE-0A90898DD4B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3B8-44ED-86AE-0A90898DD4B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3B8-44ED-86AE-0A90898DD4B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3B8-44ED-86AE-0A90898DD4B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3B8-44ED-86AE-0A90898DD4B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3B8-44ED-86AE-0A90898DD4B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3B8-44ED-86AE-0A90898DD4B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3B8-44ED-86AE-0A90898DD4B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3B8-44ED-86AE-0A90898DD4B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3B8-44ED-86AE-0A90898DD4B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3B8-44ED-86AE-0A90898DD4B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3B8-44ED-86AE-0A90898DD4B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3B8-44ED-86AE-0A90898DD4B0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3B8-44ED-86AE-0A90898DD4B0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3B8-44ED-86AE-0A90898DD4B0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3B8-44ED-86AE-0A90898DD4B0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3B8-44ED-86AE-0A90898DD4B0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3B8-44ED-86AE-0A90898DD4B0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3B8-44ED-86AE-0A90898DD4B0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3B8-44ED-86AE-0A90898DD4B0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3B8-44ED-86AE-0A90898DD4B0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3B8-44ED-86AE-0A90898DD4B0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C3B8-44ED-86AE-0A90898DD4B0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C3B8-44ED-86AE-0A90898DD4B0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C3B8-44ED-86AE-0A90898DD4B0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C3B8-44ED-86AE-0A90898DD4B0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C3B8-44ED-86AE-0A90898DD4B0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C3B8-44ED-86AE-0A90898DD4B0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C3B8-44ED-86AE-0A90898DD4B0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C3B8-44ED-86AE-0A90898DD4B0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C3B8-44ED-86AE-0A90898DD4B0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C3B8-44ED-86AE-0A90898DD4B0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C3B8-44ED-86AE-0A90898DD4B0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C3B8-44ED-86AE-0A90898DD4B0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C3B8-44ED-86AE-0A90898DD4B0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C3B8-44ED-86AE-0A90898DD4B0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C3B8-44ED-86AE-0A90898DD4B0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C3B8-44ED-86AE-0A90898DD4B0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C3B8-44ED-86AE-0A90898DD4B0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C3B8-44ED-86AE-0A90898DD4B0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C3B8-44ED-86AE-0A90898DD4B0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C3B8-44ED-86AE-0A90898DD4B0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C3B8-44ED-86AE-0A90898DD4B0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C3B8-44ED-86AE-0A90898DD4B0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C3B8-44ED-86AE-0A90898DD4B0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C3B8-44ED-86AE-0A90898DD4B0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C3B8-44ED-86AE-0A90898DD4B0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C3B8-44ED-86AE-0A90898DD4B0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C3B8-44ED-86AE-0A90898DD4B0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C3B8-44ED-86AE-0A90898DD4B0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C3B8-44ED-86AE-0A90898DD4B0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C3B8-44ED-86AE-0A90898DD4B0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C3B8-44ED-86AE-0A90898DD4B0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C3B8-44ED-86AE-0A90898DD4B0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C3B8-44ED-86AE-0A90898DD4B0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C3B8-44ED-86AE-0A90898DD4B0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C3B8-44ED-86AE-0A90898DD4B0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C3B8-44ED-86AE-0A90898DD4B0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C3B8-44ED-86AE-0A90898DD4B0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C3B8-44ED-86AE-0A90898DD4B0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C3B8-44ED-86AE-0A90898DD4B0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C3B8-44ED-86AE-0A90898DD4B0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C3B8-44ED-86AE-0A90898DD4B0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C3B8-44ED-86AE-0A90898DD4B0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C3B8-44ED-86AE-0A90898DD4B0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C3B8-44ED-86AE-0A90898DD4B0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C3B8-44ED-86AE-0A90898DD4B0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C3B8-44ED-86AE-0A90898DD4B0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C3B8-44ED-86AE-0A90898DD4B0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C3B8-44ED-86AE-0A90898DD4B0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C3B8-44ED-86AE-0A90898DD4B0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C3B8-44ED-86AE-0A90898DD4B0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C3B8-44ED-86AE-0A90898DD4B0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C3B8-44ED-86AE-0A90898DD4B0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C3B8-44ED-86AE-0A90898DD4B0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C3B8-44ED-86AE-0A90898DD4B0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C3B8-44ED-86AE-0A90898DD4B0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C3B8-44ED-86AE-0A90898DD4B0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C3B8-44ED-86AE-0A90898DD4B0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C3B8-44ED-86AE-0A90898DD4B0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C3B8-44ED-86AE-0A90898DD4B0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C3B8-44ED-86AE-0A90898DD4B0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C3B8-44ED-86AE-0A90898DD4B0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C3B8-44ED-86AE-0A90898DD4B0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C3B8-44ED-86AE-0A90898DD4B0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C3B8-44ED-86AE-0A90898DD4B0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C3B8-44ED-86AE-0A90898DD4B0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C3B8-44ED-86AE-0A90898DD4B0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C3B8-44ED-86AE-0A90898DD4B0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C3B8-44ED-86AE-0A90898DD4B0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C3B8-44ED-86AE-0A90898DD4B0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C3B8-44ED-86AE-0A90898DD4B0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C3B8-44ED-86AE-0A90898DD4B0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C3B8-44ED-86AE-0A90898DD4B0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C3B8-44ED-86AE-0A90898DD4B0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C3B8-44ED-86AE-0A90898DD4B0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C3B8-44ED-86AE-0A90898DD4B0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C3B8-44ED-86AE-0A90898DD4B0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C3B8-44ED-86AE-0A90898DD4B0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C3B8-44ED-86AE-0A90898DD4B0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C3B8-44ED-86AE-0A90898DD4B0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C3B8-44ED-86AE-0A90898DD4B0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C3B8-44ED-86AE-0A90898DD4B0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C3B8-44ED-86AE-0A90898DD4B0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C3B8-44ED-86AE-0A90898DD4B0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C3B8-44ED-86AE-0A90898DD4B0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C3B8-44ED-86AE-0A90898DD4B0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C3B8-44ED-86AE-0A90898DD4B0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C3B8-44ED-86AE-0A90898DD4B0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C3B8-44ED-86AE-0A90898DD4B0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C3B8-44ED-86AE-0A90898DD4B0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C3B8-44ED-86AE-0A90898DD4B0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C3B8-44ED-86AE-0A90898DD4B0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C3B8-44ED-86AE-0A90898DD4B0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C3B8-44ED-86AE-0A90898DD4B0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C3B8-44ED-86AE-0A90898DD4B0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C3B8-44ED-86AE-0A90898DD4B0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C3B8-44ED-86AE-0A90898DD4B0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C3B8-44ED-86AE-0A90898DD4B0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C3B8-44ED-86AE-0A90898DD4B0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C3B8-44ED-86AE-0A90898DD4B0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C3B8-44ED-86AE-0A90898DD4B0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C3B8-44ED-86AE-0A90898DD4B0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8-C3B8-44ED-86AE-0A90898DD4B0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C3B8-44ED-86AE-0A90898DD4B0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C3B8-44ED-86AE-0A90898DD4B0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C3B8-44ED-86AE-0A90898DD4B0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C3B8-44ED-86AE-0A90898DD4B0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C3B8-44ED-86AE-0A90898DD4B0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C3B8-44ED-86AE-0A90898DD4B0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C3B8-44ED-86AE-0A90898DD4B0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C3B8-44ED-86AE-0A90898DD4B0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C3B8-44ED-86AE-0A90898DD4B0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C3B8-44ED-86AE-0A90898DD4B0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C3B8-44ED-86AE-0A90898DD4B0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C3B8-44ED-86AE-0A90898DD4B0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C3B8-44ED-86AE-0A90898DD4B0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C3B8-44ED-86AE-0A90898DD4B0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C3B8-44ED-86AE-0A90898DD4B0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C3B8-44ED-86AE-0A90898DD4B0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C3B8-44ED-86AE-0A90898DD4B0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C3B8-44ED-86AE-0A90898DD4B0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C3B8-44ED-86AE-0A90898DD4B0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C3B8-44ED-86AE-0A90898DD4B0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C3B8-44ED-86AE-0A90898DD4B0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C3B8-44ED-86AE-0A90898DD4B0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C3B8-44ED-86AE-0A90898DD4B0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C3B8-44ED-86AE-0A90898DD4B0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C3B8-44ED-86AE-0A90898DD4B0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2-C3B8-44ED-86AE-0A90898DD4B0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C3B8-44ED-86AE-0A90898DD4B0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4-C3B8-44ED-86AE-0A90898DD4B0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C3B8-44ED-86AE-0A90898DD4B0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6-C3B8-44ED-86AE-0A90898DD4B0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C3B8-44ED-86AE-0A90898DD4B0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8-C3B8-44ED-86AE-0A90898DD4B0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C3B8-44ED-86AE-0A90898DD4B0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A-C3B8-44ED-86AE-0A90898DD4B0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C3B8-44ED-86AE-0A90898DD4B0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C3B8-44ED-86AE-0A90898DD4B0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C3B8-44ED-86AE-0A90898DD4B0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E-C3B8-44ED-86AE-0A90898DD4B0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C3B8-44ED-86AE-0A90898DD4B0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0-C3B8-44ED-86AE-0A90898DD4B0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C3B8-44ED-86AE-0A90898DD4B0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2-C3B8-44ED-86AE-0A90898DD4B0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C3B8-44ED-86AE-0A90898DD4B0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4-C3B8-44ED-86AE-0A90898DD4B0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C3B8-44ED-86AE-0A90898DD4B0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6-C3B8-44ED-86AE-0A90898DD4B0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C3B8-44ED-86AE-0A90898DD4B0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C3B8-44ED-86AE-0A90898DD4B0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C3B8-44ED-86AE-0A90898DD4B0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C3B8-44ED-86AE-0A90898DD4B0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C3B8-44ED-86AE-0A90898DD4B0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C3B8-44ED-86AE-0A90898DD4B0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C3B8-44ED-86AE-0A90898DD4B0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C3B8-44ED-86AE-0A90898DD4B0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C3B8-44ED-86AE-0A90898DD4B0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C3B8-44ED-86AE-0A90898DD4B0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C3B8-44ED-86AE-0A90898DD4B0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C3B8-44ED-86AE-0A90898DD4B0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C3B8-44ED-86AE-0A90898DD4B0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C3B8-44ED-86AE-0A90898DD4B0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C3B8-44ED-86AE-0A90898DD4B0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C3B8-44ED-86AE-0A90898DD4B0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7-C3B8-44ED-86AE-0A90898DD4B0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8-C3B8-44ED-86AE-0A90898DD4B0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9-C3B8-44ED-86AE-0A90898DD4B0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A-C3B8-44ED-86AE-0A90898DD4B0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B-C3B8-44ED-86AE-0A90898DD4B0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C-C3B8-44ED-86AE-0A90898DD4B0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D-C3B8-44ED-86AE-0A90898DD4B0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E-C3B8-44ED-86AE-0A90898DD4B0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F-C3B8-44ED-86AE-0A90898DD4B0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0-C3B8-44ED-86AE-0A90898DD4B0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1-C3B8-44ED-86AE-0A90898DD4B0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2-C3B8-44ED-86AE-0A90898DD4B0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3-C3B8-44ED-86AE-0A90898DD4B0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4-C3B8-44ED-86AE-0A90898DD4B0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5-C3B8-44ED-86AE-0A90898DD4B0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6-C3B8-44ED-86AE-0A90898DD4B0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7-C3B8-44ED-86AE-0A90898DD4B0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8-C3B8-44ED-86AE-0A90898DD4B0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9-C3B8-44ED-86AE-0A90898DD4B0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A-C3B8-44ED-86AE-0A90898DD4B0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B-C3B8-44ED-86AE-0A90898DD4B0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C-C3B8-44ED-86AE-0A90898DD4B0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D-C3B8-44ED-86AE-0A90898DD4B0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E-C3B8-44ED-86AE-0A90898DD4B0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F-C3B8-44ED-86AE-0A90898DD4B0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0-C3B8-44ED-86AE-0A90898DD4B0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1-C3B8-44ED-86AE-0A90898DD4B0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2-C3B8-44ED-86AE-0A90898DD4B0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3-C3B8-44ED-86AE-0A90898DD4B0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4-C3B8-44ED-86AE-0A90898DD4B0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5-C3B8-44ED-86AE-0A90898DD4B0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6-C3B8-44ED-86AE-0A90898DD4B0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7-C3B8-44ED-86AE-0A90898DD4B0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8-C3B8-44ED-86AE-0A90898DD4B0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9-C3B8-44ED-86AE-0A90898DD4B0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A-C3B8-44ED-86AE-0A90898DD4B0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B-C3B8-44ED-86AE-0A90898DD4B0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C-C3B8-44ED-86AE-0A90898DD4B0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D-C3B8-44ED-86AE-0A90898DD4B0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E-C3B8-44ED-86AE-0A90898DD4B0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F-C3B8-44ED-86AE-0A90898DD4B0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0-C3B8-44ED-86AE-0A90898DD4B0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1-C3B8-44ED-86AE-0A90898DD4B0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2-C3B8-44ED-86AE-0A90898DD4B0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3-C3B8-44ED-86AE-0A90898DD4B0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4-C3B8-44ED-86AE-0A90898DD4B0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5-C3B8-44ED-86AE-0A90898DD4B0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6-C3B8-44ED-86AE-0A90898DD4B0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7-C3B8-44ED-86AE-0A90898DD4B0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8-C3B8-44ED-86AE-0A90898DD4B0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9-C3B8-44ED-86AE-0A90898DD4B0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A-C3B8-44ED-86AE-0A90898DD4B0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B-C3B8-44ED-86AE-0A90898DD4B0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C-C3B8-44ED-86AE-0A90898DD4B0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D-C3B8-44ED-86AE-0A90898DD4B0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E-C3B8-44ED-86AE-0A90898DD4B0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F-C3B8-44ED-86AE-0A90898DD4B0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0-C3B8-44ED-86AE-0A90898DD4B0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1-C3B8-44ED-86AE-0A90898DD4B0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2-C3B8-44ED-86AE-0A90898DD4B0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3-C3B8-44ED-86AE-0A90898DD4B0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4-C3B8-44ED-86AE-0A90898DD4B0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5-C3B8-44ED-86AE-0A90898DD4B0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6-C3B8-44ED-86AE-0A90898DD4B0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7-C3B8-44ED-86AE-0A90898DD4B0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8-C3B8-44ED-86AE-0A90898DD4B0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9-C3B8-44ED-86AE-0A90898DD4B0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A-C3B8-44ED-86AE-0A90898DD4B0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B-C3B8-44ED-86AE-0A90898DD4B0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C-C3B8-44ED-86AE-0A90898DD4B0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D-C3B8-44ED-86AE-0A90898DD4B0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E-C3B8-44ED-86AE-0A90898DD4B0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F-C3B8-44ED-86AE-0A90898DD4B0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0-C3B8-44ED-86AE-0A90898DD4B0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1-C3B8-44ED-86AE-0A90898DD4B0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2-C3B8-44ED-86AE-0A90898DD4B0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3-C3B8-44ED-86AE-0A90898DD4B0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4-C3B8-44ED-86AE-0A90898DD4B0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5-C3B8-44ED-86AE-0A90898DD4B0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6-C3B8-44ED-86AE-0A90898DD4B0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7-C3B8-44ED-86AE-0A90898DD4B0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8-C3B8-44ED-86AE-0A90898DD4B0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9-C3B8-44ED-86AE-0A90898DD4B0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A-C3B8-44ED-86AE-0A90898DD4B0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B-C3B8-44ED-86AE-0A90898DD4B0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C-C3B8-44ED-86AE-0A90898DD4B0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D-C3B8-44ED-86AE-0A90898DD4B0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E-C3B8-44ED-86AE-0A90898DD4B0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F-C3B8-44ED-86AE-0A90898DD4B0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0-C3B8-44ED-86AE-0A90898DD4B0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1-C3B8-44ED-86AE-0A90898DD4B0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2-C3B8-44ED-86AE-0A90898DD4B0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3-C3B8-44ED-86AE-0A90898DD4B0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4-C3B8-44ED-86AE-0A90898DD4B0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5-C3B8-44ED-86AE-0A90898DD4B0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6-C3B8-44ED-86AE-0A90898DD4B0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7-C3B8-44ED-86AE-0A90898DD4B0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8-C3B8-44ED-86AE-0A90898DD4B0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9-C3B8-44ED-86AE-0A90898DD4B0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A-C3B8-44ED-86AE-0A90898DD4B0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B-C3B8-44ED-86AE-0A90898DD4B0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C-C3B8-44ED-86AE-0A90898DD4B0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D-C3B8-44ED-86AE-0A90898DD4B0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E-C3B8-44ED-86AE-0A90898DD4B0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F-C3B8-44ED-86AE-0A90898DD4B0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0-C3B8-44ED-86AE-0A90898DD4B0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1-C3B8-44ED-86AE-0A90898DD4B0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2-C3B8-44ED-86AE-0A90898DD4B0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3-C3B8-44ED-86AE-0A90898DD4B0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4-C3B8-44ED-86AE-0A90898DD4B0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5-C3B8-44ED-86AE-0A90898DD4B0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6-C3B8-44ED-86AE-0A90898DD4B0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7-C3B8-44ED-86AE-0A90898DD4B0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8-C3B8-44ED-86AE-0A90898DD4B0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9-C3B8-44ED-86AE-0A90898DD4B0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A-C3B8-44ED-86AE-0A90898DD4B0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B-C3B8-44ED-86AE-0A90898DD4B0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C-C3B8-44ED-86AE-0A90898DD4B0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D-C3B8-44ED-86AE-0A90898DD4B0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E-C3B8-44ED-86AE-0A90898DD4B0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F-C3B8-44ED-86AE-0A90898DD4B0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0-C3B8-44ED-86AE-0A90898DD4B0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1-C3B8-44ED-86AE-0A90898DD4B0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2-C3B8-44ED-86AE-0A90898DD4B0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3-C3B8-44ED-86AE-0A90898DD4B0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4-C3B8-44ED-86AE-0A90898DD4B0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5-C3B8-44ED-86AE-0A90898DD4B0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6-C3B8-44ED-86AE-0A90898DD4B0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7-C3B8-44ED-86AE-0A90898DD4B0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8-C3B8-44ED-86AE-0A90898DD4B0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9-C3B8-44ED-86AE-0A90898DD4B0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A-C3B8-44ED-86AE-0A90898DD4B0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B-C3B8-44ED-86AE-0A90898DD4B0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C-C3B8-44ED-86AE-0A90898DD4B0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D-C3B8-44ED-86AE-0A90898DD4B0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E-C3B8-44ED-86AE-0A90898DD4B0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F-C3B8-44ED-86AE-0A90898DD4B0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0-C3B8-44ED-86AE-0A90898DD4B0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1-C3B8-44ED-86AE-0A90898DD4B0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2-C3B8-44ED-86AE-0A90898DD4B0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3-C3B8-44ED-86AE-0A90898DD4B0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4-C3B8-44ED-86AE-0A90898DD4B0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5-C3B8-44ED-86AE-0A90898DD4B0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6-C3B8-44ED-86AE-0A90898DD4B0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7-C3B8-44ED-86AE-0A90898DD4B0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8-C3B8-44ED-86AE-0A90898DD4B0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9-C3B8-44ED-86AE-0A90898DD4B0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A-C3B8-44ED-86AE-0A90898DD4B0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B-C3B8-44ED-86AE-0A90898DD4B0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C-C3B8-44ED-86AE-0A90898DD4B0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D-C3B8-44ED-86AE-0A90898DD4B0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E-C3B8-44ED-86AE-0A90898DD4B0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F-C3B8-44ED-86AE-0A90898DD4B0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0-C3B8-44ED-86AE-0A90898DD4B0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1-C3B8-44ED-86AE-0A90898DD4B0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2-C3B8-44ED-86AE-0A90898DD4B0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3-C3B8-44ED-86AE-0A90898DD4B0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4-C3B8-44ED-86AE-0A90898DD4B0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5-C3B8-44ED-86AE-0A90898DD4B0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6-C3B8-44ED-86AE-0A90898DD4B0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7-C3B8-44ED-86AE-0A90898DD4B0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8-C3B8-44ED-86AE-0A90898DD4B0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9-C3B8-44ED-86AE-0A90898DD4B0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A-C3B8-44ED-86AE-0A90898DD4B0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B-C3B8-44ED-86AE-0A90898DD4B0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C-C3B8-44ED-86AE-0A90898DD4B0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D-C3B8-44ED-86AE-0A90898DD4B0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E-C3B8-44ED-86AE-0A90898DD4B0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F-C3B8-44ED-86AE-0A90898DD4B0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0-C3B8-44ED-86AE-0A90898DD4B0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1-C3B8-44ED-86AE-0A90898DD4B0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2-C3B8-44ED-86AE-0A90898DD4B0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3-C3B8-44ED-86AE-0A90898DD4B0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4-C3B8-44ED-86AE-0A90898DD4B0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5-C3B8-44ED-86AE-0A90898DD4B0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6-C3B8-44ED-86AE-0A90898DD4B0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7-C3B8-44ED-86AE-0A90898DD4B0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8-C3B8-44ED-86AE-0A90898DD4B0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9-C3B8-44ED-86AE-0A90898DD4B0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A-C3B8-44ED-86AE-0A90898DD4B0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B-C3B8-44ED-86AE-0A90898DD4B0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C-C3B8-44ED-86AE-0A90898DD4B0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D-C3B8-44ED-86AE-0A90898DD4B0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E-C3B8-44ED-86AE-0A90898DD4B0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F-C3B8-44ED-86AE-0A90898DD4B0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0-C3B8-44ED-86AE-0A90898DD4B0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1-C3B8-44ED-86AE-0A90898DD4B0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2-C3B8-44ED-86AE-0A90898DD4B0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3-C3B8-44ED-86AE-0A90898DD4B0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4-C3B8-44ED-86AE-0A90898DD4B0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5-C3B8-44ED-86AE-0A90898DD4B0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6-C3B8-44ED-86AE-0A90898DD4B0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7-C3B8-44ED-86AE-0A90898DD4B0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8-C3B8-44ED-86AE-0A90898DD4B0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9-C3B8-44ED-86AE-0A90898DD4B0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A-C3B8-44ED-86AE-0A90898DD4B0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B-C3B8-44ED-86AE-0A90898DD4B0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C-C3B8-44ED-86AE-0A90898DD4B0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D-C3B8-44ED-86AE-0A90898DD4B0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E-C3B8-44ED-86AE-0A90898DD4B0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F-C3B8-44ED-86AE-0A90898DD4B0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0-C3B8-44ED-86AE-0A90898DD4B0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1-C3B8-44ED-86AE-0A90898DD4B0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2-C3B8-44ED-86AE-0A90898DD4B0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3-C3B8-44ED-86AE-0A90898DD4B0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4-C3B8-44ED-86AE-0A90898DD4B0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5-C3B8-44ED-86AE-0A90898DD4B0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6-C3B8-44ED-86AE-0A90898DD4B0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7-C3B8-44ED-86AE-0A90898DD4B0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8-C3B8-44ED-86AE-0A90898DD4B0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9-C3B8-44ED-86AE-0A90898DD4B0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A-C3B8-44ED-86AE-0A90898DD4B0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B-C3B8-44ED-86AE-0A90898DD4B0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C-C3B8-44ED-86AE-0A90898DD4B0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D-C3B8-44ED-86AE-0A90898DD4B0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E-C3B8-44ED-86AE-0A90898DD4B0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F-C3B8-44ED-86AE-0A90898DD4B0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0-C3B8-44ED-86AE-0A90898DD4B0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1-C3B8-44ED-86AE-0A90898DD4B0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2-C3B8-44ED-86AE-0A90898DD4B0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3-C3B8-44ED-86AE-0A90898DD4B0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4-C3B8-44ED-86AE-0A90898DD4B0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5-C3B8-44ED-86AE-0A90898DD4B0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6-C3B8-44ED-86AE-0A90898DD4B0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7-C3B8-44ED-86AE-0A90898DD4B0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8-C3B8-44ED-86AE-0A90898DD4B0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9-C3B8-44ED-86AE-0A90898DD4B0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A-C3B8-44ED-86AE-0A90898DD4B0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B-C3B8-44ED-86AE-0A90898DD4B0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C-C3B8-44ED-86AE-0A90898DD4B0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D-C3B8-44ED-86AE-0A90898DD4B0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E-C3B8-44ED-86AE-0A90898DD4B0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F-C3B8-44ED-86AE-0A90898DD4B0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0-C3B8-44ED-86AE-0A90898DD4B0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1-C3B8-44ED-86AE-0A90898DD4B0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2-C3B8-44ED-86AE-0A90898DD4B0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3-C3B8-44ED-86AE-0A90898DD4B0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4-C3B8-44ED-86AE-0A90898DD4B0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5-C3B8-44ED-86AE-0A90898DD4B0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6-C3B8-44ED-86AE-0A90898DD4B0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7-C3B8-44ED-86AE-0A90898DD4B0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8-C3B8-44ED-86AE-0A90898DD4B0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9-C3B8-44ED-86AE-0A90898DD4B0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A-C3B8-44ED-86AE-0A90898DD4B0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B-C3B8-44ED-86AE-0A90898DD4B0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C-C3B8-44ED-86AE-0A90898DD4B0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D-C3B8-44ED-86AE-0A90898DD4B0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E-C3B8-44ED-86AE-0A90898DD4B0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F-C3B8-44ED-86AE-0A90898DD4B0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0-C3B8-44ED-86AE-0A90898DD4B0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1-C3B8-44ED-86AE-0A90898DD4B0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2-C3B8-44ED-86AE-0A90898DD4B0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3-C3B8-44ED-86AE-0A90898DD4B0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4-C3B8-44ED-86AE-0A90898DD4B0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5-C3B8-44ED-86AE-0A90898DD4B0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6-C3B8-44ED-86AE-0A90898DD4B0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7-C3B8-44ED-86AE-0A90898DD4B0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8-C3B8-44ED-86AE-0A90898DD4B0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9-C3B8-44ED-86AE-0A90898DD4B0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A-C3B8-44ED-86AE-0A90898DD4B0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B-C3B8-44ED-86AE-0A90898DD4B0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C-C3B8-44ED-86AE-0A90898DD4B0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D-C3B8-44ED-86AE-0A90898DD4B0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E-C3B8-44ED-86AE-0A90898DD4B0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F-C3B8-44ED-86AE-0A90898DD4B0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0-C3B8-44ED-86AE-0A90898DD4B0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1-C3B8-44ED-86AE-0A90898DD4B0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2-C3B8-44ED-86AE-0A90898DD4B0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3-C3B8-44ED-86AE-0A90898DD4B0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4-C3B8-44ED-86AE-0A90898DD4B0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5-C3B8-44ED-86AE-0A90898DD4B0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6-C3B8-44ED-86AE-0A90898DD4B0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7-C3B8-44ED-86AE-0A90898DD4B0}"/>
                </c:ext>
              </c:extLst>
            </c:dLbl>
            <c:numFmt formatCode="@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'tuot-PVÄ'!$B$3:$B$500</c:f>
              <c:numCache>
                <c:formatCode>General</c:formatCode>
                <c:ptCount val="498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23</c:v>
                </c:pt>
                <c:pt idx="40">
                  <c:v>23</c:v>
                </c:pt>
                <c:pt idx="41">
                  <c:v>23</c:v>
                </c:pt>
                <c:pt idx="42">
                  <c:v>23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26</c:v>
                </c:pt>
                <c:pt idx="62">
                  <c:v>26</c:v>
                </c:pt>
                <c:pt idx="63">
                  <c:v>26</c:v>
                </c:pt>
                <c:pt idx="64">
                  <c:v>27</c:v>
                </c:pt>
                <c:pt idx="65">
                  <c:v>27</c:v>
                </c:pt>
                <c:pt idx="66">
                  <c:v>27</c:v>
                </c:pt>
                <c:pt idx="67">
                  <c:v>27</c:v>
                </c:pt>
                <c:pt idx="68">
                  <c:v>27</c:v>
                </c:pt>
                <c:pt idx="69">
                  <c:v>27</c:v>
                </c:pt>
                <c:pt idx="70">
                  <c:v>27</c:v>
                </c:pt>
                <c:pt idx="71">
                  <c:v>28</c:v>
                </c:pt>
                <c:pt idx="72">
                  <c:v>28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30</c:v>
                </c:pt>
                <c:pt idx="89">
                  <c:v>30</c:v>
                </c:pt>
                <c:pt idx="90">
                  <c:v>30</c:v>
                </c:pt>
                <c:pt idx="91">
                  <c:v>30</c:v>
                </c:pt>
                <c:pt idx="92">
                  <c:v>31</c:v>
                </c:pt>
                <c:pt idx="93">
                  <c:v>31</c:v>
                </c:pt>
                <c:pt idx="94">
                  <c:v>31</c:v>
                </c:pt>
                <c:pt idx="95">
                  <c:v>31</c:v>
                </c:pt>
                <c:pt idx="96">
                  <c:v>31</c:v>
                </c:pt>
                <c:pt idx="97">
                  <c:v>31</c:v>
                </c:pt>
                <c:pt idx="98">
                  <c:v>31</c:v>
                </c:pt>
                <c:pt idx="99">
                  <c:v>32</c:v>
                </c:pt>
                <c:pt idx="100">
                  <c:v>32</c:v>
                </c:pt>
                <c:pt idx="101">
                  <c:v>32</c:v>
                </c:pt>
                <c:pt idx="102">
                  <c:v>32</c:v>
                </c:pt>
                <c:pt idx="103">
                  <c:v>32</c:v>
                </c:pt>
                <c:pt idx="104">
                  <c:v>32</c:v>
                </c:pt>
                <c:pt idx="105">
                  <c:v>32</c:v>
                </c:pt>
                <c:pt idx="106">
                  <c:v>33</c:v>
                </c:pt>
                <c:pt idx="107">
                  <c:v>33</c:v>
                </c:pt>
                <c:pt idx="108">
                  <c:v>33</c:v>
                </c:pt>
                <c:pt idx="109">
                  <c:v>33</c:v>
                </c:pt>
                <c:pt idx="110">
                  <c:v>33</c:v>
                </c:pt>
                <c:pt idx="111">
                  <c:v>33</c:v>
                </c:pt>
                <c:pt idx="112">
                  <c:v>33</c:v>
                </c:pt>
                <c:pt idx="113">
                  <c:v>34</c:v>
                </c:pt>
                <c:pt idx="114">
                  <c:v>34</c:v>
                </c:pt>
                <c:pt idx="115">
                  <c:v>34</c:v>
                </c:pt>
                <c:pt idx="116">
                  <c:v>34</c:v>
                </c:pt>
                <c:pt idx="117">
                  <c:v>34</c:v>
                </c:pt>
                <c:pt idx="118">
                  <c:v>34</c:v>
                </c:pt>
                <c:pt idx="119">
                  <c:v>34</c:v>
                </c:pt>
                <c:pt idx="120">
                  <c:v>35</c:v>
                </c:pt>
                <c:pt idx="121">
                  <c:v>35</c:v>
                </c:pt>
                <c:pt idx="122">
                  <c:v>35</c:v>
                </c:pt>
                <c:pt idx="123">
                  <c:v>35</c:v>
                </c:pt>
                <c:pt idx="124">
                  <c:v>35</c:v>
                </c:pt>
                <c:pt idx="125">
                  <c:v>35</c:v>
                </c:pt>
                <c:pt idx="126">
                  <c:v>35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36</c:v>
                </c:pt>
                <c:pt idx="132">
                  <c:v>36</c:v>
                </c:pt>
                <c:pt idx="133">
                  <c:v>36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38</c:v>
                </c:pt>
                <c:pt idx="142">
                  <c:v>38</c:v>
                </c:pt>
                <c:pt idx="143">
                  <c:v>38</c:v>
                </c:pt>
                <c:pt idx="144">
                  <c:v>38</c:v>
                </c:pt>
                <c:pt idx="145">
                  <c:v>38</c:v>
                </c:pt>
                <c:pt idx="146">
                  <c:v>38</c:v>
                </c:pt>
                <c:pt idx="147">
                  <c:v>38</c:v>
                </c:pt>
                <c:pt idx="148">
                  <c:v>39</c:v>
                </c:pt>
                <c:pt idx="149">
                  <c:v>39</c:v>
                </c:pt>
                <c:pt idx="150">
                  <c:v>39</c:v>
                </c:pt>
                <c:pt idx="151">
                  <c:v>39</c:v>
                </c:pt>
                <c:pt idx="152">
                  <c:v>39</c:v>
                </c:pt>
                <c:pt idx="153">
                  <c:v>39</c:v>
                </c:pt>
                <c:pt idx="154">
                  <c:v>39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41</c:v>
                </c:pt>
                <c:pt idx="163">
                  <c:v>41</c:v>
                </c:pt>
                <c:pt idx="164">
                  <c:v>41</c:v>
                </c:pt>
                <c:pt idx="165">
                  <c:v>41</c:v>
                </c:pt>
                <c:pt idx="166">
                  <c:v>41</c:v>
                </c:pt>
                <c:pt idx="167">
                  <c:v>41</c:v>
                </c:pt>
                <c:pt idx="168">
                  <c:v>41</c:v>
                </c:pt>
                <c:pt idx="169">
                  <c:v>42</c:v>
                </c:pt>
                <c:pt idx="170">
                  <c:v>42</c:v>
                </c:pt>
                <c:pt idx="171">
                  <c:v>42</c:v>
                </c:pt>
                <c:pt idx="172">
                  <c:v>42</c:v>
                </c:pt>
                <c:pt idx="173">
                  <c:v>42</c:v>
                </c:pt>
                <c:pt idx="174">
                  <c:v>42</c:v>
                </c:pt>
                <c:pt idx="175">
                  <c:v>42</c:v>
                </c:pt>
                <c:pt idx="176">
                  <c:v>43</c:v>
                </c:pt>
                <c:pt idx="177">
                  <c:v>43</c:v>
                </c:pt>
                <c:pt idx="178">
                  <c:v>43</c:v>
                </c:pt>
                <c:pt idx="179">
                  <c:v>43</c:v>
                </c:pt>
                <c:pt idx="180">
                  <c:v>43</c:v>
                </c:pt>
                <c:pt idx="181">
                  <c:v>43</c:v>
                </c:pt>
                <c:pt idx="182">
                  <c:v>43</c:v>
                </c:pt>
                <c:pt idx="183">
                  <c:v>44</c:v>
                </c:pt>
                <c:pt idx="184">
                  <c:v>44</c:v>
                </c:pt>
                <c:pt idx="185">
                  <c:v>44</c:v>
                </c:pt>
                <c:pt idx="186">
                  <c:v>44</c:v>
                </c:pt>
                <c:pt idx="187">
                  <c:v>44</c:v>
                </c:pt>
                <c:pt idx="188">
                  <c:v>44</c:v>
                </c:pt>
                <c:pt idx="189">
                  <c:v>44</c:v>
                </c:pt>
                <c:pt idx="190">
                  <c:v>45</c:v>
                </c:pt>
                <c:pt idx="191">
                  <c:v>45</c:v>
                </c:pt>
                <c:pt idx="192">
                  <c:v>45</c:v>
                </c:pt>
                <c:pt idx="193">
                  <c:v>45</c:v>
                </c:pt>
                <c:pt idx="194">
                  <c:v>45</c:v>
                </c:pt>
                <c:pt idx="195">
                  <c:v>45</c:v>
                </c:pt>
                <c:pt idx="196">
                  <c:v>45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47</c:v>
                </c:pt>
                <c:pt idx="205">
                  <c:v>47</c:v>
                </c:pt>
                <c:pt idx="206">
                  <c:v>47</c:v>
                </c:pt>
                <c:pt idx="207">
                  <c:v>47</c:v>
                </c:pt>
                <c:pt idx="208">
                  <c:v>47</c:v>
                </c:pt>
                <c:pt idx="209">
                  <c:v>47</c:v>
                </c:pt>
                <c:pt idx="210">
                  <c:v>47</c:v>
                </c:pt>
                <c:pt idx="211">
                  <c:v>48</c:v>
                </c:pt>
                <c:pt idx="212">
                  <c:v>48</c:v>
                </c:pt>
                <c:pt idx="213">
                  <c:v>48</c:v>
                </c:pt>
                <c:pt idx="214">
                  <c:v>48</c:v>
                </c:pt>
                <c:pt idx="215">
                  <c:v>48</c:v>
                </c:pt>
                <c:pt idx="216">
                  <c:v>48</c:v>
                </c:pt>
                <c:pt idx="217">
                  <c:v>48</c:v>
                </c:pt>
                <c:pt idx="218">
                  <c:v>49</c:v>
                </c:pt>
                <c:pt idx="219">
                  <c:v>49</c:v>
                </c:pt>
                <c:pt idx="220">
                  <c:v>49</c:v>
                </c:pt>
                <c:pt idx="221">
                  <c:v>49</c:v>
                </c:pt>
                <c:pt idx="222">
                  <c:v>49</c:v>
                </c:pt>
                <c:pt idx="223">
                  <c:v>49</c:v>
                </c:pt>
                <c:pt idx="224">
                  <c:v>49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51</c:v>
                </c:pt>
                <c:pt idx="233">
                  <c:v>51</c:v>
                </c:pt>
                <c:pt idx="234">
                  <c:v>51</c:v>
                </c:pt>
                <c:pt idx="235">
                  <c:v>51</c:v>
                </c:pt>
                <c:pt idx="236">
                  <c:v>51</c:v>
                </c:pt>
                <c:pt idx="237">
                  <c:v>51</c:v>
                </c:pt>
                <c:pt idx="238">
                  <c:v>51</c:v>
                </c:pt>
                <c:pt idx="239">
                  <c:v>52</c:v>
                </c:pt>
                <c:pt idx="240">
                  <c:v>52</c:v>
                </c:pt>
                <c:pt idx="241">
                  <c:v>52</c:v>
                </c:pt>
                <c:pt idx="242">
                  <c:v>52</c:v>
                </c:pt>
                <c:pt idx="243">
                  <c:v>52</c:v>
                </c:pt>
                <c:pt idx="244">
                  <c:v>52</c:v>
                </c:pt>
                <c:pt idx="245">
                  <c:v>52</c:v>
                </c:pt>
                <c:pt idx="246">
                  <c:v>53</c:v>
                </c:pt>
                <c:pt idx="247">
                  <c:v>53</c:v>
                </c:pt>
                <c:pt idx="248">
                  <c:v>53</c:v>
                </c:pt>
                <c:pt idx="249">
                  <c:v>53</c:v>
                </c:pt>
                <c:pt idx="250">
                  <c:v>53</c:v>
                </c:pt>
                <c:pt idx="251">
                  <c:v>53</c:v>
                </c:pt>
                <c:pt idx="252">
                  <c:v>53</c:v>
                </c:pt>
                <c:pt idx="253">
                  <c:v>54</c:v>
                </c:pt>
                <c:pt idx="254">
                  <c:v>54</c:v>
                </c:pt>
                <c:pt idx="255">
                  <c:v>54</c:v>
                </c:pt>
                <c:pt idx="256">
                  <c:v>54</c:v>
                </c:pt>
                <c:pt idx="257">
                  <c:v>54</c:v>
                </c:pt>
                <c:pt idx="258">
                  <c:v>54</c:v>
                </c:pt>
                <c:pt idx="259">
                  <c:v>54</c:v>
                </c:pt>
                <c:pt idx="260">
                  <c:v>55</c:v>
                </c:pt>
                <c:pt idx="261">
                  <c:v>55</c:v>
                </c:pt>
                <c:pt idx="262">
                  <c:v>55</c:v>
                </c:pt>
                <c:pt idx="263">
                  <c:v>55</c:v>
                </c:pt>
                <c:pt idx="264">
                  <c:v>55</c:v>
                </c:pt>
                <c:pt idx="265">
                  <c:v>55</c:v>
                </c:pt>
                <c:pt idx="266">
                  <c:v>55</c:v>
                </c:pt>
                <c:pt idx="267">
                  <c:v>56</c:v>
                </c:pt>
                <c:pt idx="268">
                  <c:v>56</c:v>
                </c:pt>
                <c:pt idx="269">
                  <c:v>56</c:v>
                </c:pt>
                <c:pt idx="270">
                  <c:v>56</c:v>
                </c:pt>
                <c:pt idx="271">
                  <c:v>56</c:v>
                </c:pt>
                <c:pt idx="272">
                  <c:v>56</c:v>
                </c:pt>
                <c:pt idx="273">
                  <c:v>56</c:v>
                </c:pt>
                <c:pt idx="274">
                  <c:v>57</c:v>
                </c:pt>
                <c:pt idx="275">
                  <c:v>57</c:v>
                </c:pt>
                <c:pt idx="276">
                  <c:v>57</c:v>
                </c:pt>
                <c:pt idx="277">
                  <c:v>57</c:v>
                </c:pt>
                <c:pt idx="278">
                  <c:v>57</c:v>
                </c:pt>
                <c:pt idx="279">
                  <c:v>57</c:v>
                </c:pt>
                <c:pt idx="280">
                  <c:v>57</c:v>
                </c:pt>
                <c:pt idx="281">
                  <c:v>58</c:v>
                </c:pt>
                <c:pt idx="282">
                  <c:v>58</c:v>
                </c:pt>
                <c:pt idx="283">
                  <c:v>58</c:v>
                </c:pt>
                <c:pt idx="284">
                  <c:v>58</c:v>
                </c:pt>
                <c:pt idx="285">
                  <c:v>58</c:v>
                </c:pt>
                <c:pt idx="286">
                  <c:v>58</c:v>
                </c:pt>
                <c:pt idx="287">
                  <c:v>58</c:v>
                </c:pt>
                <c:pt idx="288">
                  <c:v>59</c:v>
                </c:pt>
                <c:pt idx="289">
                  <c:v>59</c:v>
                </c:pt>
                <c:pt idx="290">
                  <c:v>59</c:v>
                </c:pt>
                <c:pt idx="291">
                  <c:v>59</c:v>
                </c:pt>
                <c:pt idx="292">
                  <c:v>59</c:v>
                </c:pt>
                <c:pt idx="293">
                  <c:v>59</c:v>
                </c:pt>
                <c:pt idx="294">
                  <c:v>59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61</c:v>
                </c:pt>
                <c:pt idx="303">
                  <c:v>61</c:v>
                </c:pt>
                <c:pt idx="304">
                  <c:v>61</c:v>
                </c:pt>
                <c:pt idx="305">
                  <c:v>61</c:v>
                </c:pt>
                <c:pt idx="306">
                  <c:v>61</c:v>
                </c:pt>
                <c:pt idx="307">
                  <c:v>61</c:v>
                </c:pt>
                <c:pt idx="308">
                  <c:v>61</c:v>
                </c:pt>
                <c:pt idx="309">
                  <c:v>62</c:v>
                </c:pt>
                <c:pt idx="310">
                  <c:v>62</c:v>
                </c:pt>
                <c:pt idx="311">
                  <c:v>62</c:v>
                </c:pt>
                <c:pt idx="312">
                  <c:v>62</c:v>
                </c:pt>
                <c:pt idx="313">
                  <c:v>62</c:v>
                </c:pt>
                <c:pt idx="314">
                  <c:v>62</c:v>
                </c:pt>
                <c:pt idx="315">
                  <c:v>62</c:v>
                </c:pt>
                <c:pt idx="316">
                  <c:v>63</c:v>
                </c:pt>
                <c:pt idx="317">
                  <c:v>63</c:v>
                </c:pt>
                <c:pt idx="318">
                  <c:v>63</c:v>
                </c:pt>
                <c:pt idx="319">
                  <c:v>63</c:v>
                </c:pt>
                <c:pt idx="320">
                  <c:v>63</c:v>
                </c:pt>
                <c:pt idx="321">
                  <c:v>63</c:v>
                </c:pt>
                <c:pt idx="322">
                  <c:v>63</c:v>
                </c:pt>
                <c:pt idx="323">
                  <c:v>64</c:v>
                </c:pt>
                <c:pt idx="324">
                  <c:v>64</c:v>
                </c:pt>
                <c:pt idx="325">
                  <c:v>64</c:v>
                </c:pt>
                <c:pt idx="326">
                  <c:v>64</c:v>
                </c:pt>
                <c:pt idx="327">
                  <c:v>64</c:v>
                </c:pt>
                <c:pt idx="328">
                  <c:v>64</c:v>
                </c:pt>
                <c:pt idx="329">
                  <c:v>64</c:v>
                </c:pt>
                <c:pt idx="330">
                  <c:v>65</c:v>
                </c:pt>
                <c:pt idx="331">
                  <c:v>65</c:v>
                </c:pt>
                <c:pt idx="332">
                  <c:v>65</c:v>
                </c:pt>
                <c:pt idx="333">
                  <c:v>65</c:v>
                </c:pt>
                <c:pt idx="334">
                  <c:v>65</c:v>
                </c:pt>
                <c:pt idx="335">
                  <c:v>65</c:v>
                </c:pt>
                <c:pt idx="336">
                  <c:v>65</c:v>
                </c:pt>
                <c:pt idx="337">
                  <c:v>66</c:v>
                </c:pt>
                <c:pt idx="338">
                  <c:v>66</c:v>
                </c:pt>
                <c:pt idx="339">
                  <c:v>66</c:v>
                </c:pt>
                <c:pt idx="340">
                  <c:v>66</c:v>
                </c:pt>
                <c:pt idx="341">
                  <c:v>66</c:v>
                </c:pt>
                <c:pt idx="342">
                  <c:v>66</c:v>
                </c:pt>
                <c:pt idx="343">
                  <c:v>66</c:v>
                </c:pt>
                <c:pt idx="344">
                  <c:v>67</c:v>
                </c:pt>
                <c:pt idx="345">
                  <c:v>67</c:v>
                </c:pt>
                <c:pt idx="346">
                  <c:v>67</c:v>
                </c:pt>
                <c:pt idx="347">
                  <c:v>67</c:v>
                </c:pt>
                <c:pt idx="348">
                  <c:v>67</c:v>
                </c:pt>
                <c:pt idx="349">
                  <c:v>67</c:v>
                </c:pt>
                <c:pt idx="350">
                  <c:v>67</c:v>
                </c:pt>
                <c:pt idx="351">
                  <c:v>68</c:v>
                </c:pt>
                <c:pt idx="352">
                  <c:v>68</c:v>
                </c:pt>
                <c:pt idx="353">
                  <c:v>68</c:v>
                </c:pt>
                <c:pt idx="354">
                  <c:v>68</c:v>
                </c:pt>
                <c:pt idx="355">
                  <c:v>68</c:v>
                </c:pt>
                <c:pt idx="356">
                  <c:v>68</c:v>
                </c:pt>
                <c:pt idx="357">
                  <c:v>68</c:v>
                </c:pt>
                <c:pt idx="358">
                  <c:v>69</c:v>
                </c:pt>
                <c:pt idx="359">
                  <c:v>69</c:v>
                </c:pt>
                <c:pt idx="360">
                  <c:v>69</c:v>
                </c:pt>
                <c:pt idx="361">
                  <c:v>69</c:v>
                </c:pt>
                <c:pt idx="362">
                  <c:v>69</c:v>
                </c:pt>
                <c:pt idx="363">
                  <c:v>69</c:v>
                </c:pt>
                <c:pt idx="364">
                  <c:v>69</c:v>
                </c:pt>
                <c:pt idx="365">
                  <c:v>70</c:v>
                </c:pt>
                <c:pt idx="366">
                  <c:v>70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71</c:v>
                </c:pt>
                <c:pt idx="373">
                  <c:v>71</c:v>
                </c:pt>
                <c:pt idx="374">
                  <c:v>71</c:v>
                </c:pt>
                <c:pt idx="375">
                  <c:v>71</c:v>
                </c:pt>
                <c:pt idx="376">
                  <c:v>71</c:v>
                </c:pt>
                <c:pt idx="377">
                  <c:v>71</c:v>
                </c:pt>
                <c:pt idx="378">
                  <c:v>71</c:v>
                </c:pt>
                <c:pt idx="379">
                  <c:v>72</c:v>
                </c:pt>
                <c:pt idx="380">
                  <c:v>72</c:v>
                </c:pt>
                <c:pt idx="381">
                  <c:v>72</c:v>
                </c:pt>
                <c:pt idx="382">
                  <c:v>72</c:v>
                </c:pt>
                <c:pt idx="383">
                  <c:v>72</c:v>
                </c:pt>
                <c:pt idx="384">
                  <c:v>72</c:v>
                </c:pt>
                <c:pt idx="385">
                  <c:v>72</c:v>
                </c:pt>
                <c:pt idx="386">
                  <c:v>73</c:v>
                </c:pt>
                <c:pt idx="387">
                  <c:v>73</c:v>
                </c:pt>
                <c:pt idx="388">
                  <c:v>73</c:v>
                </c:pt>
                <c:pt idx="389">
                  <c:v>73</c:v>
                </c:pt>
                <c:pt idx="390">
                  <c:v>73</c:v>
                </c:pt>
                <c:pt idx="391">
                  <c:v>73</c:v>
                </c:pt>
                <c:pt idx="392">
                  <c:v>73</c:v>
                </c:pt>
                <c:pt idx="393">
                  <c:v>74</c:v>
                </c:pt>
                <c:pt idx="394">
                  <c:v>74</c:v>
                </c:pt>
                <c:pt idx="395">
                  <c:v>74</c:v>
                </c:pt>
                <c:pt idx="396">
                  <c:v>74</c:v>
                </c:pt>
                <c:pt idx="397">
                  <c:v>74</c:v>
                </c:pt>
                <c:pt idx="398">
                  <c:v>74</c:v>
                </c:pt>
                <c:pt idx="399">
                  <c:v>74</c:v>
                </c:pt>
                <c:pt idx="400">
                  <c:v>75</c:v>
                </c:pt>
                <c:pt idx="401">
                  <c:v>75</c:v>
                </c:pt>
                <c:pt idx="402">
                  <c:v>75</c:v>
                </c:pt>
                <c:pt idx="403">
                  <c:v>75</c:v>
                </c:pt>
                <c:pt idx="404">
                  <c:v>75</c:v>
                </c:pt>
                <c:pt idx="405">
                  <c:v>75</c:v>
                </c:pt>
                <c:pt idx="406">
                  <c:v>75</c:v>
                </c:pt>
                <c:pt idx="407">
                  <c:v>76</c:v>
                </c:pt>
                <c:pt idx="408">
                  <c:v>76</c:v>
                </c:pt>
                <c:pt idx="409">
                  <c:v>76</c:v>
                </c:pt>
                <c:pt idx="410">
                  <c:v>76</c:v>
                </c:pt>
                <c:pt idx="411">
                  <c:v>76</c:v>
                </c:pt>
                <c:pt idx="412">
                  <c:v>76</c:v>
                </c:pt>
                <c:pt idx="413">
                  <c:v>76</c:v>
                </c:pt>
                <c:pt idx="414">
                  <c:v>77</c:v>
                </c:pt>
                <c:pt idx="415">
                  <c:v>77</c:v>
                </c:pt>
                <c:pt idx="416">
                  <c:v>77</c:v>
                </c:pt>
                <c:pt idx="417">
                  <c:v>77</c:v>
                </c:pt>
                <c:pt idx="418">
                  <c:v>77</c:v>
                </c:pt>
                <c:pt idx="419">
                  <c:v>77</c:v>
                </c:pt>
                <c:pt idx="420">
                  <c:v>77</c:v>
                </c:pt>
                <c:pt idx="421">
                  <c:v>78</c:v>
                </c:pt>
                <c:pt idx="422">
                  <c:v>78</c:v>
                </c:pt>
                <c:pt idx="423">
                  <c:v>78</c:v>
                </c:pt>
                <c:pt idx="424">
                  <c:v>78</c:v>
                </c:pt>
                <c:pt idx="425">
                  <c:v>78</c:v>
                </c:pt>
                <c:pt idx="426">
                  <c:v>78</c:v>
                </c:pt>
                <c:pt idx="427">
                  <c:v>78</c:v>
                </c:pt>
                <c:pt idx="428">
                  <c:v>79</c:v>
                </c:pt>
                <c:pt idx="429">
                  <c:v>79</c:v>
                </c:pt>
                <c:pt idx="430">
                  <c:v>79</c:v>
                </c:pt>
                <c:pt idx="431">
                  <c:v>79</c:v>
                </c:pt>
                <c:pt idx="432">
                  <c:v>79</c:v>
                </c:pt>
                <c:pt idx="433">
                  <c:v>79</c:v>
                </c:pt>
                <c:pt idx="434">
                  <c:v>79</c:v>
                </c:pt>
                <c:pt idx="435">
                  <c:v>80</c:v>
                </c:pt>
                <c:pt idx="436">
                  <c:v>80</c:v>
                </c:pt>
                <c:pt idx="437">
                  <c:v>80</c:v>
                </c:pt>
                <c:pt idx="438">
                  <c:v>80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81</c:v>
                </c:pt>
                <c:pt idx="443">
                  <c:v>81</c:v>
                </c:pt>
                <c:pt idx="444">
                  <c:v>81</c:v>
                </c:pt>
                <c:pt idx="445">
                  <c:v>81</c:v>
                </c:pt>
                <c:pt idx="446">
                  <c:v>81</c:v>
                </c:pt>
                <c:pt idx="447">
                  <c:v>81</c:v>
                </c:pt>
                <c:pt idx="448">
                  <c:v>81</c:v>
                </c:pt>
                <c:pt idx="449">
                  <c:v>82</c:v>
                </c:pt>
                <c:pt idx="450">
                  <c:v>82</c:v>
                </c:pt>
                <c:pt idx="451">
                  <c:v>82</c:v>
                </c:pt>
                <c:pt idx="452">
                  <c:v>82</c:v>
                </c:pt>
                <c:pt idx="453">
                  <c:v>82</c:v>
                </c:pt>
                <c:pt idx="454">
                  <c:v>82</c:v>
                </c:pt>
                <c:pt idx="455">
                  <c:v>82</c:v>
                </c:pt>
                <c:pt idx="456">
                  <c:v>83</c:v>
                </c:pt>
                <c:pt idx="457">
                  <c:v>83</c:v>
                </c:pt>
                <c:pt idx="458">
                  <c:v>83</c:v>
                </c:pt>
                <c:pt idx="459">
                  <c:v>83</c:v>
                </c:pt>
                <c:pt idx="460">
                  <c:v>83</c:v>
                </c:pt>
                <c:pt idx="461">
                  <c:v>83</c:v>
                </c:pt>
                <c:pt idx="462">
                  <c:v>83</c:v>
                </c:pt>
                <c:pt idx="463">
                  <c:v>84</c:v>
                </c:pt>
                <c:pt idx="464">
                  <c:v>84</c:v>
                </c:pt>
                <c:pt idx="465">
                  <c:v>84</c:v>
                </c:pt>
                <c:pt idx="466">
                  <c:v>84</c:v>
                </c:pt>
                <c:pt idx="467">
                  <c:v>84</c:v>
                </c:pt>
                <c:pt idx="468">
                  <c:v>84</c:v>
                </c:pt>
                <c:pt idx="469">
                  <c:v>84</c:v>
                </c:pt>
                <c:pt idx="470">
                  <c:v>85</c:v>
                </c:pt>
                <c:pt idx="471">
                  <c:v>85</c:v>
                </c:pt>
                <c:pt idx="472">
                  <c:v>85</c:v>
                </c:pt>
                <c:pt idx="473">
                  <c:v>85</c:v>
                </c:pt>
                <c:pt idx="474">
                  <c:v>85</c:v>
                </c:pt>
                <c:pt idx="475">
                  <c:v>85</c:v>
                </c:pt>
                <c:pt idx="476">
                  <c:v>85</c:v>
                </c:pt>
                <c:pt idx="477">
                  <c:v>86</c:v>
                </c:pt>
                <c:pt idx="478">
                  <c:v>86</c:v>
                </c:pt>
                <c:pt idx="479">
                  <c:v>86</c:v>
                </c:pt>
                <c:pt idx="480">
                  <c:v>86</c:v>
                </c:pt>
                <c:pt idx="481">
                  <c:v>86</c:v>
                </c:pt>
                <c:pt idx="482">
                  <c:v>86</c:v>
                </c:pt>
                <c:pt idx="483">
                  <c:v>86</c:v>
                </c:pt>
                <c:pt idx="484">
                  <c:v>87</c:v>
                </c:pt>
                <c:pt idx="485">
                  <c:v>87</c:v>
                </c:pt>
                <c:pt idx="486">
                  <c:v>87</c:v>
                </c:pt>
                <c:pt idx="487">
                  <c:v>87</c:v>
                </c:pt>
                <c:pt idx="488">
                  <c:v>87</c:v>
                </c:pt>
                <c:pt idx="489">
                  <c:v>87</c:v>
                </c:pt>
                <c:pt idx="490">
                  <c:v>87</c:v>
                </c:pt>
                <c:pt idx="491">
                  <c:v>88</c:v>
                </c:pt>
                <c:pt idx="492">
                  <c:v>88</c:v>
                </c:pt>
                <c:pt idx="493">
                  <c:v>88</c:v>
                </c:pt>
                <c:pt idx="494">
                  <c:v>88</c:v>
                </c:pt>
                <c:pt idx="495">
                  <c:v>88</c:v>
                </c:pt>
                <c:pt idx="496">
                  <c:v>88</c:v>
                </c:pt>
                <c:pt idx="497">
                  <c:v>88</c:v>
                </c:pt>
              </c:numCache>
            </c:numRef>
          </c:cat>
          <c:val>
            <c:numRef>
              <c:f>'tuot-PVÄ'!$J$2:$J$500</c:f>
              <c:numCache>
                <c:formatCode>0.0</c:formatCode>
                <c:ptCount val="49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3-40A4-BE4A-3AE2F6DBB910}"/>
            </c:ext>
          </c:extLst>
        </c:ser>
        <c:ser>
          <c:idx val="2"/>
          <c:order val="2"/>
          <c:tx>
            <c:strRef>
              <c:f>'tuot-PVÄ'!$AA$2</c:f>
              <c:strCache>
                <c:ptCount val="1"/>
                <c:pt idx="0">
                  <c:v>STD munan paino (g)</c:v>
                </c:pt>
              </c:strCache>
            </c:strRef>
          </c:tx>
          <c:spPr>
            <a:ln w="88900" cap="rnd">
              <a:solidFill>
                <a:schemeClr val="accent1">
                  <a:alpha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'tuot-PVÄ'!$B$3:$B$500</c:f>
              <c:numCache>
                <c:formatCode>General</c:formatCode>
                <c:ptCount val="498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23</c:v>
                </c:pt>
                <c:pt idx="40">
                  <c:v>23</c:v>
                </c:pt>
                <c:pt idx="41">
                  <c:v>23</c:v>
                </c:pt>
                <c:pt idx="42">
                  <c:v>23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26</c:v>
                </c:pt>
                <c:pt idx="62">
                  <c:v>26</c:v>
                </c:pt>
                <c:pt idx="63">
                  <c:v>26</c:v>
                </c:pt>
                <c:pt idx="64">
                  <c:v>27</c:v>
                </c:pt>
                <c:pt idx="65">
                  <c:v>27</c:v>
                </c:pt>
                <c:pt idx="66">
                  <c:v>27</c:v>
                </c:pt>
                <c:pt idx="67">
                  <c:v>27</c:v>
                </c:pt>
                <c:pt idx="68">
                  <c:v>27</c:v>
                </c:pt>
                <c:pt idx="69">
                  <c:v>27</c:v>
                </c:pt>
                <c:pt idx="70">
                  <c:v>27</c:v>
                </c:pt>
                <c:pt idx="71">
                  <c:v>28</c:v>
                </c:pt>
                <c:pt idx="72">
                  <c:v>28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30</c:v>
                </c:pt>
                <c:pt idx="89">
                  <c:v>30</c:v>
                </c:pt>
                <c:pt idx="90">
                  <c:v>30</c:v>
                </c:pt>
                <c:pt idx="91">
                  <c:v>30</c:v>
                </c:pt>
                <c:pt idx="92">
                  <c:v>31</c:v>
                </c:pt>
                <c:pt idx="93">
                  <c:v>31</c:v>
                </c:pt>
                <c:pt idx="94">
                  <c:v>31</c:v>
                </c:pt>
                <c:pt idx="95">
                  <c:v>31</c:v>
                </c:pt>
                <c:pt idx="96">
                  <c:v>31</c:v>
                </c:pt>
                <c:pt idx="97">
                  <c:v>31</c:v>
                </c:pt>
                <c:pt idx="98">
                  <c:v>31</c:v>
                </c:pt>
                <c:pt idx="99">
                  <c:v>32</c:v>
                </c:pt>
                <c:pt idx="100">
                  <c:v>32</c:v>
                </c:pt>
                <c:pt idx="101">
                  <c:v>32</c:v>
                </c:pt>
                <c:pt idx="102">
                  <c:v>32</c:v>
                </c:pt>
                <c:pt idx="103">
                  <c:v>32</c:v>
                </c:pt>
                <c:pt idx="104">
                  <c:v>32</c:v>
                </c:pt>
                <c:pt idx="105">
                  <c:v>32</c:v>
                </c:pt>
                <c:pt idx="106">
                  <c:v>33</c:v>
                </c:pt>
                <c:pt idx="107">
                  <c:v>33</c:v>
                </c:pt>
                <c:pt idx="108">
                  <c:v>33</c:v>
                </c:pt>
                <c:pt idx="109">
                  <c:v>33</c:v>
                </c:pt>
                <c:pt idx="110">
                  <c:v>33</c:v>
                </c:pt>
                <c:pt idx="111">
                  <c:v>33</c:v>
                </c:pt>
                <c:pt idx="112">
                  <c:v>33</c:v>
                </c:pt>
                <c:pt idx="113">
                  <c:v>34</c:v>
                </c:pt>
                <c:pt idx="114">
                  <c:v>34</c:v>
                </c:pt>
                <c:pt idx="115">
                  <c:v>34</c:v>
                </c:pt>
                <c:pt idx="116">
                  <c:v>34</c:v>
                </c:pt>
                <c:pt idx="117">
                  <c:v>34</c:v>
                </c:pt>
                <c:pt idx="118">
                  <c:v>34</c:v>
                </c:pt>
                <c:pt idx="119">
                  <c:v>34</c:v>
                </c:pt>
                <c:pt idx="120">
                  <c:v>35</c:v>
                </c:pt>
                <c:pt idx="121">
                  <c:v>35</c:v>
                </c:pt>
                <c:pt idx="122">
                  <c:v>35</c:v>
                </c:pt>
                <c:pt idx="123">
                  <c:v>35</c:v>
                </c:pt>
                <c:pt idx="124">
                  <c:v>35</c:v>
                </c:pt>
                <c:pt idx="125">
                  <c:v>35</c:v>
                </c:pt>
                <c:pt idx="126">
                  <c:v>35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36</c:v>
                </c:pt>
                <c:pt idx="132">
                  <c:v>36</c:v>
                </c:pt>
                <c:pt idx="133">
                  <c:v>36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38</c:v>
                </c:pt>
                <c:pt idx="142">
                  <c:v>38</c:v>
                </c:pt>
                <c:pt idx="143">
                  <c:v>38</c:v>
                </c:pt>
                <c:pt idx="144">
                  <c:v>38</c:v>
                </c:pt>
                <c:pt idx="145">
                  <c:v>38</c:v>
                </c:pt>
                <c:pt idx="146">
                  <c:v>38</c:v>
                </c:pt>
                <c:pt idx="147">
                  <c:v>38</c:v>
                </c:pt>
                <c:pt idx="148">
                  <c:v>39</c:v>
                </c:pt>
                <c:pt idx="149">
                  <c:v>39</c:v>
                </c:pt>
                <c:pt idx="150">
                  <c:v>39</c:v>
                </c:pt>
                <c:pt idx="151">
                  <c:v>39</c:v>
                </c:pt>
                <c:pt idx="152">
                  <c:v>39</c:v>
                </c:pt>
                <c:pt idx="153">
                  <c:v>39</c:v>
                </c:pt>
                <c:pt idx="154">
                  <c:v>39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41</c:v>
                </c:pt>
                <c:pt idx="163">
                  <c:v>41</c:v>
                </c:pt>
                <c:pt idx="164">
                  <c:v>41</c:v>
                </c:pt>
                <c:pt idx="165">
                  <c:v>41</c:v>
                </c:pt>
                <c:pt idx="166">
                  <c:v>41</c:v>
                </c:pt>
                <c:pt idx="167">
                  <c:v>41</c:v>
                </c:pt>
                <c:pt idx="168">
                  <c:v>41</c:v>
                </c:pt>
                <c:pt idx="169">
                  <c:v>42</c:v>
                </c:pt>
                <c:pt idx="170">
                  <c:v>42</c:v>
                </c:pt>
                <c:pt idx="171">
                  <c:v>42</c:v>
                </c:pt>
                <c:pt idx="172">
                  <c:v>42</c:v>
                </c:pt>
                <c:pt idx="173">
                  <c:v>42</c:v>
                </c:pt>
                <c:pt idx="174">
                  <c:v>42</c:v>
                </c:pt>
                <c:pt idx="175">
                  <c:v>42</c:v>
                </c:pt>
                <c:pt idx="176">
                  <c:v>43</c:v>
                </c:pt>
                <c:pt idx="177">
                  <c:v>43</c:v>
                </c:pt>
                <c:pt idx="178">
                  <c:v>43</c:v>
                </c:pt>
                <c:pt idx="179">
                  <c:v>43</c:v>
                </c:pt>
                <c:pt idx="180">
                  <c:v>43</c:v>
                </c:pt>
                <c:pt idx="181">
                  <c:v>43</c:v>
                </c:pt>
                <c:pt idx="182">
                  <c:v>43</c:v>
                </c:pt>
                <c:pt idx="183">
                  <c:v>44</c:v>
                </c:pt>
                <c:pt idx="184">
                  <c:v>44</c:v>
                </c:pt>
                <c:pt idx="185">
                  <c:v>44</c:v>
                </c:pt>
                <c:pt idx="186">
                  <c:v>44</c:v>
                </c:pt>
                <c:pt idx="187">
                  <c:v>44</c:v>
                </c:pt>
                <c:pt idx="188">
                  <c:v>44</c:v>
                </c:pt>
                <c:pt idx="189">
                  <c:v>44</c:v>
                </c:pt>
                <c:pt idx="190">
                  <c:v>45</c:v>
                </c:pt>
                <c:pt idx="191">
                  <c:v>45</c:v>
                </c:pt>
                <c:pt idx="192">
                  <c:v>45</c:v>
                </c:pt>
                <c:pt idx="193">
                  <c:v>45</c:v>
                </c:pt>
                <c:pt idx="194">
                  <c:v>45</c:v>
                </c:pt>
                <c:pt idx="195">
                  <c:v>45</c:v>
                </c:pt>
                <c:pt idx="196">
                  <c:v>45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47</c:v>
                </c:pt>
                <c:pt idx="205">
                  <c:v>47</c:v>
                </c:pt>
                <c:pt idx="206">
                  <c:v>47</c:v>
                </c:pt>
                <c:pt idx="207">
                  <c:v>47</c:v>
                </c:pt>
                <c:pt idx="208">
                  <c:v>47</c:v>
                </c:pt>
                <c:pt idx="209">
                  <c:v>47</c:v>
                </c:pt>
                <c:pt idx="210">
                  <c:v>47</c:v>
                </c:pt>
                <c:pt idx="211">
                  <c:v>48</c:v>
                </c:pt>
                <c:pt idx="212">
                  <c:v>48</c:v>
                </c:pt>
                <c:pt idx="213">
                  <c:v>48</c:v>
                </c:pt>
                <c:pt idx="214">
                  <c:v>48</c:v>
                </c:pt>
                <c:pt idx="215">
                  <c:v>48</c:v>
                </c:pt>
                <c:pt idx="216">
                  <c:v>48</c:v>
                </c:pt>
                <c:pt idx="217">
                  <c:v>48</c:v>
                </c:pt>
                <c:pt idx="218">
                  <c:v>49</c:v>
                </c:pt>
                <c:pt idx="219">
                  <c:v>49</c:v>
                </c:pt>
                <c:pt idx="220">
                  <c:v>49</c:v>
                </c:pt>
                <c:pt idx="221">
                  <c:v>49</c:v>
                </c:pt>
                <c:pt idx="222">
                  <c:v>49</c:v>
                </c:pt>
                <c:pt idx="223">
                  <c:v>49</c:v>
                </c:pt>
                <c:pt idx="224">
                  <c:v>49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51</c:v>
                </c:pt>
                <c:pt idx="233">
                  <c:v>51</c:v>
                </c:pt>
                <c:pt idx="234">
                  <c:v>51</c:v>
                </c:pt>
                <c:pt idx="235">
                  <c:v>51</c:v>
                </c:pt>
                <c:pt idx="236">
                  <c:v>51</c:v>
                </c:pt>
                <c:pt idx="237">
                  <c:v>51</c:v>
                </c:pt>
                <c:pt idx="238">
                  <c:v>51</c:v>
                </c:pt>
                <c:pt idx="239">
                  <c:v>52</c:v>
                </c:pt>
                <c:pt idx="240">
                  <c:v>52</c:v>
                </c:pt>
                <c:pt idx="241">
                  <c:v>52</c:v>
                </c:pt>
                <c:pt idx="242">
                  <c:v>52</c:v>
                </c:pt>
                <c:pt idx="243">
                  <c:v>52</c:v>
                </c:pt>
                <c:pt idx="244">
                  <c:v>52</c:v>
                </c:pt>
                <c:pt idx="245">
                  <c:v>52</c:v>
                </c:pt>
                <c:pt idx="246">
                  <c:v>53</c:v>
                </c:pt>
                <c:pt idx="247">
                  <c:v>53</c:v>
                </c:pt>
                <c:pt idx="248">
                  <c:v>53</c:v>
                </c:pt>
                <c:pt idx="249">
                  <c:v>53</c:v>
                </c:pt>
                <c:pt idx="250">
                  <c:v>53</c:v>
                </c:pt>
                <c:pt idx="251">
                  <c:v>53</c:v>
                </c:pt>
                <c:pt idx="252">
                  <c:v>53</c:v>
                </c:pt>
                <c:pt idx="253">
                  <c:v>54</c:v>
                </c:pt>
                <c:pt idx="254">
                  <c:v>54</c:v>
                </c:pt>
                <c:pt idx="255">
                  <c:v>54</c:v>
                </c:pt>
                <c:pt idx="256">
                  <c:v>54</c:v>
                </c:pt>
                <c:pt idx="257">
                  <c:v>54</c:v>
                </c:pt>
                <c:pt idx="258">
                  <c:v>54</c:v>
                </c:pt>
                <c:pt idx="259">
                  <c:v>54</c:v>
                </c:pt>
                <c:pt idx="260">
                  <c:v>55</c:v>
                </c:pt>
                <c:pt idx="261">
                  <c:v>55</c:v>
                </c:pt>
                <c:pt idx="262">
                  <c:v>55</c:v>
                </c:pt>
                <c:pt idx="263">
                  <c:v>55</c:v>
                </c:pt>
                <c:pt idx="264">
                  <c:v>55</c:v>
                </c:pt>
                <c:pt idx="265">
                  <c:v>55</c:v>
                </c:pt>
                <c:pt idx="266">
                  <c:v>55</c:v>
                </c:pt>
                <c:pt idx="267">
                  <c:v>56</c:v>
                </c:pt>
                <c:pt idx="268">
                  <c:v>56</c:v>
                </c:pt>
                <c:pt idx="269">
                  <c:v>56</c:v>
                </c:pt>
                <c:pt idx="270">
                  <c:v>56</c:v>
                </c:pt>
                <c:pt idx="271">
                  <c:v>56</c:v>
                </c:pt>
                <c:pt idx="272">
                  <c:v>56</c:v>
                </c:pt>
                <c:pt idx="273">
                  <c:v>56</c:v>
                </c:pt>
                <c:pt idx="274">
                  <c:v>57</c:v>
                </c:pt>
                <c:pt idx="275">
                  <c:v>57</c:v>
                </c:pt>
                <c:pt idx="276">
                  <c:v>57</c:v>
                </c:pt>
                <c:pt idx="277">
                  <c:v>57</c:v>
                </c:pt>
                <c:pt idx="278">
                  <c:v>57</c:v>
                </c:pt>
                <c:pt idx="279">
                  <c:v>57</c:v>
                </c:pt>
                <c:pt idx="280">
                  <c:v>57</c:v>
                </c:pt>
                <c:pt idx="281">
                  <c:v>58</c:v>
                </c:pt>
                <c:pt idx="282">
                  <c:v>58</c:v>
                </c:pt>
                <c:pt idx="283">
                  <c:v>58</c:v>
                </c:pt>
                <c:pt idx="284">
                  <c:v>58</c:v>
                </c:pt>
                <c:pt idx="285">
                  <c:v>58</c:v>
                </c:pt>
                <c:pt idx="286">
                  <c:v>58</c:v>
                </c:pt>
                <c:pt idx="287">
                  <c:v>58</c:v>
                </c:pt>
                <c:pt idx="288">
                  <c:v>59</c:v>
                </c:pt>
                <c:pt idx="289">
                  <c:v>59</c:v>
                </c:pt>
                <c:pt idx="290">
                  <c:v>59</c:v>
                </c:pt>
                <c:pt idx="291">
                  <c:v>59</c:v>
                </c:pt>
                <c:pt idx="292">
                  <c:v>59</c:v>
                </c:pt>
                <c:pt idx="293">
                  <c:v>59</c:v>
                </c:pt>
                <c:pt idx="294">
                  <c:v>59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61</c:v>
                </c:pt>
                <c:pt idx="303">
                  <c:v>61</c:v>
                </c:pt>
                <c:pt idx="304">
                  <c:v>61</c:v>
                </c:pt>
                <c:pt idx="305">
                  <c:v>61</c:v>
                </c:pt>
                <c:pt idx="306">
                  <c:v>61</c:v>
                </c:pt>
                <c:pt idx="307">
                  <c:v>61</c:v>
                </c:pt>
                <c:pt idx="308">
                  <c:v>61</c:v>
                </c:pt>
                <c:pt idx="309">
                  <c:v>62</c:v>
                </c:pt>
                <c:pt idx="310">
                  <c:v>62</c:v>
                </c:pt>
                <c:pt idx="311">
                  <c:v>62</c:v>
                </c:pt>
                <c:pt idx="312">
                  <c:v>62</c:v>
                </c:pt>
                <c:pt idx="313">
                  <c:v>62</c:v>
                </c:pt>
                <c:pt idx="314">
                  <c:v>62</c:v>
                </c:pt>
                <c:pt idx="315">
                  <c:v>62</c:v>
                </c:pt>
                <c:pt idx="316">
                  <c:v>63</c:v>
                </c:pt>
                <c:pt idx="317">
                  <c:v>63</c:v>
                </c:pt>
                <c:pt idx="318">
                  <c:v>63</c:v>
                </c:pt>
                <c:pt idx="319">
                  <c:v>63</c:v>
                </c:pt>
                <c:pt idx="320">
                  <c:v>63</c:v>
                </c:pt>
                <c:pt idx="321">
                  <c:v>63</c:v>
                </c:pt>
                <c:pt idx="322">
                  <c:v>63</c:v>
                </c:pt>
                <c:pt idx="323">
                  <c:v>64</c:v>
                </c:pt>
                <c:pt idx="324">
                  <c:v>64</c:v>
                </c:pt>
                <c:pt idx="325">
                  <c:v>64</c:v>
                </c:pt>
                <c:pt idx="326">
                  <c:v>64</c:v>
                </c:pt>
                <c:pt idx="327">
                  <c:v>64</c:v>
                </c:pt>
                <c:pt idx="328">
                  <c:v>64</c:v>
                </c:pt>
                <c:pt idx="329">
                  <c:v>64</c:v>
                </c:pt>
                <c:pt idx="330">
                  <c:v>65</c:v>
                </c:pt>
                <c:pt idx="331">
                  <c:v>65</c:v>
                </c:pt>
                <c:pt idx="332">
                  <c:v>65</c:v>
                </c:pt>
                <c:pt idx="333">
                  <c:v>65</c:v>
                </c:pt>
                <c:pt idx="334">
                  <c:v>65</c:v>
                </c:pt>
                <c:pt idx="335">
                  <c:v>65</c:v>
                </c:pt>
                <c:pt idx="336">
                  <c:v>65</c:v>
                </c:pt>
                <c:pt idx="337">
                  <c:v>66</c:v>
                </c:pt>
                <c:pt idx="338">
                  <c:v>66</c:v>
                </c:pt>
                <c:pt idx="339">
                  <c:v>66</c:v>
                </c:pt>
                <c:pt idx="340">
                  <c:v>66</c:v>
                </c:pt>
                <c:pt idx="341">
                  <c:v>66</c:v>
                </c:pt>
                <c:pt idx="342">
                  <c:v>66</c:v>
                </c:pt>
                <c:pt idx="343">
                  <c:v>66</c:v>
                </c:pt>
                <c:pt idx="344">
                  <c:v>67</c:v>
                </c:pt>
                <c:pt idx="345">
                  <c:v>67</c:v>
                </c:pt>
                <c:pt idx="346">
                  <c:v>67</c:v>
                </c:pt>
                <c:pt idx="347">
                  <c:v>67</c:v>
                </c:pt>
                <c:pt idx="348">
                  <c:v>67</c:v>
                </c:pt>
                <c:pt idx="349">
                  <c:v>67</c:v>
                </c:pt>
                <c:pt idx="350">
                  <c:v>67</c:v>
                </c:pt>
                <c:pt idx="351">
                  <c:v>68</c:v>
                </c:pt>
                <c:pt idx="352">
                  <c:v>68</c:v>
                </c:pt>
                <c:pt idx="353">
                  <c:v>68</c:v>
                </c:pt>
                <c:pt idx="354">
                  <c:v>68</c:v>
                </c:pt>
                <c:pt idx="355">
                  <c:v>68</c:v>
                </c:pt>
                <c:pt idx="356">
                  <c:v>68</c:v>
                </c:pt>
                <c:pt idx="357">
                  <c:v>68</c:v>
                </c:pt>
                <c:pt idx="358">
                  <c:v>69</c:v>
                </c:pt>
                <c:pt idx="359">
                  <c:v>69</c:v>
                </c:pt>
                <c:pt idx="360">
                  <c:v>69</c:v>
                </c:pt>
                <c:pt idx="361">
                  <c:v>69</c:v>
                </c:pt>
                <c:pt idx="362">
                  <c:v>69</c:v>
                </c:pt>
                <c:pt idx="363">
                  <c:v>69</c:v>
                </c:pt>
                <c:pt idx="364">
                  <c:v>69</c:v>
                </c:pt>
                <c:pt idx="365">
                  <c:v>70</c:v>
                </c:pt>
                <c:pt idx="366">
                  <c:v>70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71</c:v>
                </c:pt>
                <c:pt idx="373">
                  <c:v>71</c:v>
                </c:pt>
                <c:pt idx="374">
                  <c:v>71</c:v>
                </c:pt>
                <c:pt idx="375">
                  <c:v>71</c:v>
                </c:pt>
                <c:pt idx="376">
                  <c:v>71</c:v>
                </c:pt>
                <c:pt idx="377">
                  <c:v>71</c:v>
                </c:pt>
                <c:pt idx="378">
                  <c:v>71</c:v>
                </c:pt>
                <c:pt idx="379">
                  <c:v>72</c:v>
                </c:pt>
                <c:pt idx="380">
                  <c:v>72</c:v>
                </c:pt>
                <c:pt idx="381">
                  <c:v>72</c:v>
                </c:pt>
                <c:pt idx="382">
                  <c:v>72</c:v>
                </c:pt>
                <c:pt idx="383">
                  <c:v>72</c:v>
                </c:pt>
                <c:pt idx="384">
                  <c:v>72</c:v>
                </c:pt>
                <c:pt idx="385">
                  <c:v>72</c:v>
                </c:pt>
                <c:pt idx="386">
                  <c:v>73</c:v>
                </c:pt>
                <c:pt idx="387">
                  <c:v>73</c:v>
                </c:pt>
                <c:pt idx="388">
                  <c:v>73</c:v>
                </c:pt>
                <c:pt idx="389">
                  <c:v>73</c:v>
                </c:pt>
                <c:pt idx="390">
                  <c:v>73</c:v>
                </c:pt>
                <c:pt idx="391">
                  <c:v>73</c:v>
                </c:pt>
                <c:pt idx="392">
                  <c:v>73</c:v>
                </c:pt>
                <c:pt idx="393">
                  <c:v>74</c:v>
                </c:pt>
                <c:pt idx="394">
                  <c:v>74</c:v>
                </c:pt>
                <c:pt idx="395">
                  <c:v>74</c:v>
                </c:pt>
                <c:pt idx="396">
                  <c:v>74</c:v>
                </c:pt>
                <c:pt idx="397">
                  <c:v>74</c:v>
                </c:pt>
                <c:pt idx="398">
                  <c:v>74</c:v>
                </c:pt>
                <c:pt idx="399">
                  <c:v>74</c:v>
                </c:pt>
                <c:pt idx="400">
                  <c:v>75</c:v>
                </c:pt>
                <c:pt idx="401">
                  <c:v>75</c:v>
                </c:pt>
                <c:pt idx="402">
                  <c:v>75</c:v>
                </c:pt>
                <c:pt idx="403">
                  <c:v>75</c:v>
                </c:pt>
                <c:pt idx="404">
                  <c:v>75</c:v>
                </c:pt>
                <c:pt idx="405">
                  <c:v>75</c:v>
                </c:pt>
                <c:pt idx="406">
                  <c:v>75</c:v>
                </c:pt>
                <c:pt idx="407">
                  <c:v>76</c:v>
                </c:pt>
                <c:pt idx="408">
                  <c:v>76</c:v>
                </c:pt>
                <c:pt idx="409">
                  <c:v>76</c:v>
                </c:pt>
                <c:pt idx="410">
                  <c:v>76</c:v>
                </c:pt>
                <c:pt idx="411">
                  <c:v>76</c:v>
                </c:pt>
                <c:pt idx="412">
                  <c:v>76</c:v>
                </c:pt>
                <c:pt idx="413">
                  <c:v>76</c:v>
                </c:pt>
                <c:pt idx="414">
                  <c:v>77</c:v>
                </c:pt>
                <c:pt idx="415">
                  <c:v>77</c:v>
                </c:pt>
                <c:pt idx="416">
                  <c:v>77</c:v>
                </c:pt>
                <c:pt idx="417">
                  <c:v>77</c:v>
                </c:pt>
                <c:pt idx="418">
                  <c:v>77</c:v>
                </c:pt>
                <c:pt idx="419">
                  <c:v>77</c:v>
                </c:pt>
                <c:pt idx="420">
                  <c:v>77</c:v>
                </c:pt>
                <c:pt idx="421">
                  <c:v>78</c:v>
                </c:pt>
                <c:pt idx="422">
                  <c:v>78</c:v>
                </c:pt>
                <c:pt idx="423">
                  <c:v>78</c:v>
                </c:pt>
                <c:pt idx="424">
                  <c:v>78</c:v>
                </c:pt>
                <c:pt idx="425">
                  <c:v>78</c:v>
                </c:pt>
                <c:pt idx="426">
                  <c:v>78</c:v>
                </c:pt>
                <c:pt idx="427">
                  <c:v>78</c:v>
                </c:pt>
                <c:pt idx="428">
                  <c:v>79</c:v>
                </c:pt>
                <c:pt idx="429">
                  <c:v>79</c:v>
                </c:pt>
                <c:pt idx="430">
                  <c:v>79</c:v>
                </c:pt>
                <c:pt idx="431">
                  <c:v>79</c:v>
                </c:pt>
                <c:pt idx="432">
                  <c:v>79</c:v>
                </c:pt>
                <c:pt idx="433">
                  <c:v>79</c:v>
                </c:pt>
                <c:pt idx="434">
                  <c:v>79</c:v>
                </c:pt>
                <c:pt idx="435">
                  <c:v>80</c:v>
                </c:pt>
                <c:pt idx="436">
                  <c:v>80</c:v>
                </c:pt>
                <c:pt idx="437">
                  <c:v>80</c:v>
                </c:pt>
                <c:pt idx="438">
                  <c:v>80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81</c:v>
                </c:pt>
                <c:pt idx="443">
                  <c:v>81</c:v>
                </c:pt>
                <c:pt idx="444">
                  <c:v>81</c:v>
                </c:pt>
                <c:pt idx="445">
                  <c:v>81</c:v>
                </c:pt>
                <c:pt idx="446">
                  <c:v>81</c:v>
                </c:pt>
                <c:pt idx="447">
                  <c:v>81</c:v>
                </c:pt>
                <c:pt idx="448">
                  <c:v>81</c:v>
                </c:pt>
                <c:pt idx="449">
                  <c:v>82</c:v>
                </c:pt>
                <c:pt idx="450">
                  <c:v>82</c:v>
                </c:pt>
                <c:pt idx="451">
                  <c:v>82</c:v>
                </c:pt>
                <c:pt idx="452">
                  <c:v>82</c:v>
                </c:pt>
                <c:pt idx="453">
                  <c:v>82</c:v>
                </c:pt>
                <c:pt idx="454">
                  <c:v>82</c:v>
                </c:pt>
                <c:pt idx="455">
                  <c:v>82</c:v>
                </c:pt>
                <c:pt idx="456">
                  <c:v>83</c:v>
                </c:pt>
                <c:pt idx="457">
                  <c:v>83</c:v>
                </c:pt>
                <c:pt idx="458">
                  <c:v>83</c:v>
                </c:pt>
                <c:pt idx="459">
                  <c:v>83</c:v>
                </c:pt>
                <c:pt idx="460">
                  <c:v>83</c:v>
                </c:pt>
                <c:pt idx="461">
                  <c:v>83</c:v>
                </c:pt>
                <c:pt idx="462">
                  <c:v>83</c:v>
                </c:pt>
                <c:pt idx="463">
                  <c:v>84</c:v>
                </c:pt>
                <c:pt idx="464">
                  <c:v>84</c:v>
                </c:pt>
                <c:pt idx="465">
                  <c:v>84</c:v>
                </c:pt>
                <c:pt idx="466">
                  <c:v>84</c:v>
                </c:pt>
                <c:pt idx="467">
                  <c:v>84</c:v>
                </c:pt>
                <c:pt idx="468">
                  <c:v>84</c:v>
                </c:pt>
                <c:pt idx="469">
                  <c:v>84</c:v>
                </c:pt>
                <c:pt idx="470">
                  <c:v>85</c:v>
                </c:pt>
                <c:pt idx="471">
                  <c:v>85</c:v>
                </c:pt>
                <c:pt idx="472">
                  <c:v>85</c:v>
                </c:pt>
                <c:pt idx="473">
                  <c:v>85</c:v>
                </c:pt>
                <c:pt idx="474">
                  <c:v>85</c:v>
                </c:pt>
                <c:pt idx="475">
                  <c:v>85</c:v>
                </c:pt>
                <c:pt idx="476">
                  <c:v>85</c:v>
                </c:pt>
                <c:pt idx="477">
                  <c:v>86</c:v>
                </c:pt>
                <c:pt idx="478">
                  <c:v>86</c:v>
                </c:pt>
                <c:pt idx="479">
                  <c:v>86</c:v>
                </c:pt>
                <c:pt idx="480">
                  <c:v>86</c:v>
                </c:pt>
                <c:pt idx="481">
                  <c:v>86</c:v>
                </c:pt>
                <c:pt idx="482">
                  <c:v>86</c:v>
                </c:pt>
                <c:pt idx="483">
                  <c:v>86</c:v>
                </c:pt>
                <c:pt idx="484">
                  <c:v>87</c:v>
                </c:pt>
                <c:pt idx="485">
                  <c:v>87</c:v>
                </c:pt>
                <c:pt idx="486">
                  <c:v>87</c:v>
                </c:pt>
                <c:pt idx="487">
                  <c:v>87</c:v>
                </c:pt>
                <c:pt idx="488">
                  <c:v>87</c:v>
                </c:pt>
                <c:pt idx="489">
                  <c:v>87</c:v>
                </c:pt>
                <c:pt idx="490">
                  <c:v>87</c:v>
                </c:pt>
                <c:pt idx="491">
                  <c:v>88</c:v>
                </c:pt>
                <c:pt idx="492">
                  <c:v>88</c:v>
                </c:pt>
                <c:pt idx="493">
                  <c:v>88</c:v>
                </c:pt>
                <c:pt idx="494">
                  <c:v>88</c:v>
                </c:pt>
                <c:pt idx="495">
                  <c:v>88</c:v>
                </c:pt>
                <c:pt idx="496">
                  <c:v>88</c:v>
                </c:pt>
                <c:pt idx="497">
                  <c:v>88</c:v>
                </c:pt>
              </c:numCache>
            </c:numRef>
          </c:cat>
          <c:val>
            <c:numRef>
              <c:f>'tuot-PVÄ'!$AA$3:$AA$500</c:f>
              <c:numCache>
                <c:formatCode>General</c:formatCode>
                <c:ptCount val="4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  <c:pt idx="18">
                  <c:v>48</c:v>
                </c:pt>
                <c:pt idx="19">
                  <c:v>48</c:v>
                </c:pt>
                <c:pt idx="20">
                  <c:v>48</c:v>
                </c:pt>
                <c:pt idx="21">
                  <c:v>48</c:v>
                </c:pt>
                <c:pt idx="22">
                  <c:v>51</c:v>
                </c:pt>
                <c:pt idx="23">
                  <c:v>51</c:v>
                </c:pt>
                <c:pt idx="24">
                  <c:v>51</c:v>
                </c:pt>
                <c:pt idx="25">
                  <c:v>51</c:v>
                </c:pt>
                <c:pt idx="26">
                  <c:v>51</c:v>
                </c:pt>
                <c:pt idx="27">
                  <c:v>51</c:v>
                </c:pt>
                <c:pt idx="28">
                  <c:v>51</c:v>
                </c:pt>
                <c:pt idx="29">
                  <c:v>53</c:v>
                </c:pt>
                <c:pt idx="30">
                  <c:v>53</c:v>
                </c:pt>
                <c:pt idx="31">
                  <c:v>53</c:v>
                </c:pt>
                <c:pt idx="32">
                  <c:v>53</c:v>
                </c:pt>
                <c:pt idx="33">
                  <c:v>53</c:v>
                </c:pt>
                <c:pt idx="34">
                  <c:v>53</c:v>
                </c:pt>
                <c:pt idx="35">
                  <c:v>53</c:v>
                </c:pt>
                <c:pt idx="36">
                  <c:v>54.5</c:v>
                </c:pt>
                <c:pt idx="37">
                  <c:v>54.5</c:v>
                </c:pt>
                <c:pt idx="38">
                  <c:v>54.5</c:v>
                </c:pt>
                <c:pt idx="39">
                  <c:v>54.5</c:v>
                </c:pt>
                <c:pt idx="40">
                  <c:v>54.5</c:v>
                </c:pt>
                <c:pt idx="41">
                  <c:v>54.5</c:v>
                </c:pt>
                <c:pt idx="42">
                  <c:v>54.5</c:v>
                </c:pt>
                <c:pt idx="43">
                  <c:v>55.8</c:v>
                </c:pt>
                <c:pt idx="44">
                  <c:v>55.8</c:v>
                </c:pt>
                <c:pt idx="45">
                  <c:v>55.8</c:v>
                </c:pt>
                <c:pt idx="46">
                  <c:v>55.8</c:v>
                </c:pt>
                <c:pt idx="47">
                  <c:v>55.8</c:v>
                </c:pt>
                <c:pt idx="48">
                  <c:v>55.8</c:v>
                </c:pt>
                <c:pt idx="49">
                  <c:v>55.8</c:v>
                </c:pt>
                <c:pt idx="50">
                  <c:v>56.8</c:v>
                </c:pt>
                <c:pt idx="51">
                  <c:v>56.8</c:v>
                </c:pt>
                <c:pt idx="52">
                  <c:v>56.8</c:v>
                </c:pt>
                <c:pt idx="53">
                  <c:v>56.8</c:v>
                </c:pt>
                <c:pt idx="54">
                  <c:v>56.8</c:v>
                </c:pt>
                <c:pt idx="55">
                  <c:v>56.8</c:v>
                </c:pt>
                <c:pt idx="56">
                  <c:v>56.8</c:v>
                </c:pt>
                <c:pt idx="57">
                  <c:v>57.6</c:v>
                </c:pt>
                <c:pt idx="58">
                  <c:v>57.6</c:v>
                </c:pt>
                <c:pt idx="59">
                  <c:v>57.6</c:v>
                </c:pt>
                <c:pt idx="60">
                  <c:v>57.6</c:v>
                </c:pt>
                <c:pt idx="61">
                  <c:v>57.6</c:v>
                </c:pt>
                <c:pt idx="62">
                  <c:v>57.6</c:v>
                </c:pt>
                <c:pt idx="63">
                  <c:v>57.6</c:v>
                </c:pt>
                <c:pt idx="64">
                  <c:v>58.3</c:v>
                </c:pt>
                <c:pt idx="65">
                  <c:v>58.3</c:v>
                </c:pt>
                <c:pt idx="66">
                  <c:v>58.3</c:v>
                </c:pt>
                <c:pt idx="67">
                  <c:v>58.3</c:v>
                </c:pt>
                <c:pt idx="68">
                  <c:v>58.3</c:v>
                </c:pt>
                <c:pt idx="69">
                  <c:v>58.3</c:v>
                </c:pt>
                <c:pt idx="70">
                  <c:v>58.3</c:v>
                </c:pt>
                <c:pt idx="71">
                  <c:v>59</c:v>
                </c:pt>
                <c:pt idx="72">
                  <c:v>59</c:v>
                </c:pt>
                <c:pt idx="73">
                  <c:v>59</c:v>
                </c:pt>
                <c:pt idx="74">
                  <c:v>59</c:v>
                </c:pt>
                <c:pt idx="75">
                  <c:v>59</c:v>
                </c:pt>
                <c:pt idx="76">
                  <c:v>59</c:v>
                </c:pt>
                <c:pt idx="77">
                  <c:v>59</c:v>
                </c:pt>
                <c:pt idx="78">
                  <c:v>59.6</c:v>
                </c:pt>
                <c:pt idx="79">
                  <c:v>59.6</c:v>
                </c:pt>
                <c:pt idx="80">
                  <c:v>59.6</c:v>
                </c:pt>
                <c:pt idx="81">
                  <c:v>59.6</c:v>
                </c:pt>
                <c:pt idx="82">
                  <c:v>59.6</c:v>
                </c:pt>
                <c:pt idx="83">
                  <c:v>59.6</c:v>
                </c:pt>
                <c:pt idx="84">
                  <c:v>59.6</c:v>
                </c:pt>
                <c:pt idx="85">
                  <c:v>60.1</c:v>
                </c:pt>
                <c:pt idx="86">
                  <c:v>60.1</c:v>
                </c:pt>
                <c:pt idx="87">
                  <c:v>60.1</c:v>
                </c:pt>
                <c:pt idx="88">
                  <c:v>60.1</c:v>
                </c:pt>
                <c:pt idx="89">
                  <c:v>60.1</c:v>
                </c:pt>
                <c:pt idx="90">
                  <c:v>60.1</c:v>
                </c:pt>
                <c:pt idx="91">
                  <c:v>60.1</c:v>
                </c:pt>
                <c:pt idx="92">
                  <c:v>60.5</c:v>
                </c:pt>
                <c:pt idx="93">
                  <c:v>60.5</c:v>
                </c:pt>
                <c:pt idx="94">
                  <c:v>60.5</c:v>
                </c:pt>
                <c:pt idx="95">
                  <c:v>60.5</c:v>
                </c:pt>
                <c:pt idx="96">
                  <c:v>60.5</c:v>
                </c:pt>
                <c:pt idx="97">
                  <c:v>60.5</c:v>
                </c:pt>
                <c:pt idx="98">
                  <c:v>60.5</c:v>
                </c:pt>
                <c:pt idx="99">
                  <c:v>60.9</c:v>
                </c:pt>
                <c:pt idx="100">
                  <c:v>60.9</c:v>
                </c:pt>
                <c:pt idx="101">
                  <c:v>60.9</c:v>
                </c:pt>
                <c:pt idx="102">
                  <c:v>60.9</c:v>
                </c:pt>
                <c:pt idx="103">
                  <c:v>60.9</c:v>
                </c:pt>
                <c:pt idx="104">
                  <c:v>60.9</c:v>
                </c:pt>
                <c:pt idx="105">
                  <c:v>60.9</c:v>
                </c:pt>
                <c:pt idx="106">
                  <c:v>61.3</c:v>
                </c:pt>
                <c:pt idx="107">
                  <c:v>61.3</c:v>
                </c:pt>
                <c:pt idx="108">
                  <c:v>61.3</c:v>
                </c:pt>
                <c:pt idx="109">
                  <c:v>61.3</c:v>
                </c:pt>
                <c:pt idx="110">
                  <c:v>61.3</c:v>
                </c:pt>
                <c:pt idx="111">
                  <c:v>61.3</c:v>
                </c:pt>
                <c:pt idx="112">
                  <c:v>61.3</c:v>
                </c:pt>
                <c:pt idx="113">
                  <c:v>61.6</c:v>
                </c:pt>
                <c:pt idx="114">
                  <c:v>61.6</c:v>
                </c:pt>
                <c:pt idx="115">
                  <c:v>61.6</c:v>
                </c:pt>
                <c:pt idx="116">
                  <c:v>61.6</c:v>
                </c:pt>
                <c:pt idx="117">
                  <c:v>61.6</c:v>
                </c:pt>
                <c:pt idx="118">
                  <c:v>61.6</c:v>
                </c:pt>
                <c:pt idx="119">
                  <c:v>61.6</c:v>
                </c:pt>
                <c:pt idx="120">
                  <c:v>61.8</c:v>
                </c:pt>
                <c:pt idx="121">
                  <c:v>61.8</c:v>
                </c:pt>
                <c:pt idx="122">
                  <c:v>61.8</c:v>
                </c:pt>
                <c:pt idx="123">
                  <c:v>61.8</c:v>
                </c:pt>
                <c:pt idx="124">
                  <c:v>61.8</c:v>
                </c:pt>
                <c:pt idx="125">
                  <c:v>61.8</c:v>
                </c:pt>
                <c:pt idx="126">
                  <c:v>61.8</c:v>
                </c:pt>
                <c:pt idx="127">
                  <c:v>62</c:v>
                </c:pt>
                <c:pt idx="128">
                  <c:v>62</c:v>
                </c:pt>
                <c:pt idx="129">
                  <c:v>62</c:v>
                </c:pt>
                <c:pt idx="130">
                  <c:v>62</c:v>
                </c:pt>
                <c:pt idx="131">
                  <c:v>62</c:v>
                </c:pt>
                <c:pt idx="132">
                  <c:v>62</c:v>
                </c:pt>
                <c:pt idx="133">
                  <c:v>62</c:v>
                </c:pt>
                <c:pt idx="134">
                  <c:v>62.2</c:v>
                </c:pt>
                <c:pt idx="135">
                  <c:v>62.2</c:v>
                </c:pt>
                <c:pt idx="136">
                  <c:v>62.2</c:v>
                </c:pt>
                <c:pt idx="137">
                  <c:v>62.2</c:v>
                </c:pt>
                <c:pt idx="138">
                  <c:v>62.2</c:v>
                </c:pt>
                <c:pt idx="139">
                  <c:v>62.2</c:v>
                </c:pt>
                <c:pt idx="140">
                  <c:v>62.2</c:v>
                </c:pt>
                <c:pt idx="141">
                  <c:v>62.4</c:v>
                </c:pt>
                <c:pt idx="142">
                  <c:v>62.4</c:v>
                </c:pt>
                <c:pt idx="143">
                  <c:v>62.4</c:v>
                </c:pt>
                <c:pt idx="144">
                  <c:v>62.4</c:v>
                </c:pt>
                <c:pt idx="145">
                  <c:v>62.4</c:v>
                </c:pt>
                <c:pt idx="146">
                  <c:v>62.4</c:v>
                </c:pt>
                <c:pt idx="147">
                  <c:v>62.4</c:v>
                </c:pt>
                <c:pt idx="148">
                  <c:v>62.6</c:v>
                </c:pt>
                <c:pt idx="149">
                  <c:v>62.6</c:v>
                </c:pt>
                <c:pt idx="150">
                  <c:v>62.6</c:v>
                </c:pt>
                <c:pt idx="151">
                  <c:v>62.6</c:v>
                </c:pt>
                <c:pt idx="152">
                  <c:v>62.6</c:v>
                </c:pt>
                <c:pt idx="153">
                  <c:v>62.6</c:v>
                </c:pt>
                <c:pt idx="154">
                  <c:v>62.6</c:v>
                </c:pt>
                <c:pt idx="155">
                  <c:v>62.8</c:v>
                </c:pt>
                <c:pt idx="156">
                  <c:v>62.8</c:v>
                </c:pt>
                <c:pt idx="157">
                  <c:v>62.8</c:v>
                </c:pt>
                <c:pt idx="158">
                  <c:v>62.8</c:v>
                </c:pt>
                <c:pt idx="159">
                  <c:v>62.8</c:v>
                </c:pt>
                <c:pt idx="160">
                  <c:v>62.8</c:v>
                </c:pt>
                <c:pt idx="161">
                  <c:v>62.8</c:v>
                </c:pt>
                <c:pt idx="162">
                  <c:v>63</c:v>
                </c:pt>
                <c:pt idx="163">
                  <c:v>63</c:v>
                </c:pt>
                <c:pt idx="164">
                  <c:v>63</c:v>
                </c:pt>
                <c:pt idx="165">
                  <c:v>63</c:v>
                </c:pt>
                <c:pt idx="166">
                  <c:v>63</c:v>
                </c:pt>
                <c:pt idx="167">
                  <c:v>63</c:v>
                </c:pt>
                <c:pt idx="168">
                  <c:v>63</c:v>
                </c:pt>
                <c:pt idx="169">
                  <c:v>63.2</c:v>
                </c:pt>
                <c:pt idx="170">
                  <c:v>63.2</c:v>
                </c:pt>
                <c:pt idx="171">
                  <c:v>63.2</c:v>
                </c:pt>
                <c:pt idx="172">
                  <c:v>63.2</c:v>
                </c:pt>
                <c:pt idx="173">
                  <c:v>63.2</c:v>
                </c:pt>
                <c:pt idx="174">
                  <c:v>63.2</c:v>
                </c:pt>
                <c:pt idx="175">
                  <c:v>63.2</c:v>
                </c:pt>
                <c:pt idx="176">
                  <c:v>63.4</c:v>
                </c:pt>
                <c:pt idx="177">
                  <c:v>63.4</c:v>
                </c:pt>
                <c:pt idx="178">
                  <c:v>63.4</c:v>
                </c:pt>
                <c:pt idx="179">
                  <c:v>63.4</c:v>
                </c:pt>
                <c:pt idx="180">
                  <c:v>63.4</c:v>
                </c:pt>
                <c:pt idx="181">
                  <c:v>63.4</c:v>
                </c:pt>
                <c:pt idx="182">
                  <c:v>63.4</c:v>
                </c:pt>
                <c:pt idx="183">
                  <c:v>63.6</c:v>
                </c:pt>
                <c:pt idx="184">
                  <c:v>63.6</c:v>
                </c:pt>
                <c:pt idx="185">
                  <c:v>63.6</c:v>
                </c:pt>
                <c:pt idx="186">
                  <c:v>63.6</c:v>
                </c:pt>
                <c:pt idx="187">
                  <c:v>63.6</c:v>
                </c:pt>
                <c:pt idx="188">
                  <c:v>63.6</c:v>
                </c:pt>
                <c:pt idx="189">
                  <c:v>63.6</c:v>
                </c:pt>
                <c:pt idx="190">
                  <c:v>63.8</c:v>
                </c:pt>
                <c:pt idx="191">
                  <c:v>63.8</c:v>
                </c:pt>
                <c:pt idx="192">
                  <c:v>63.8</c:v>
                </c:pt>
                <c:pt idx="193">
                  <c:v>63.8</c:v>
                </c:pt>
                <c:pt idx="194">
                  <c:v>63.8</c:v>
                </c:pt>
                <c:pt idx="195">
                  <c:v>63.8</c:v>
                </c:pt>
                <c:pt idx="196">
                  <c:v>63.8</c:v>
                </c:pt>
                <c:pt idx="197">
                  <c:v>64</c:v>
                </c:pt>
                <c:pt idx="198">
                  <c:v>64</c:v>
                </c:pt>
                <c:pt idx="199">
                  <c:v>64</c:v>
                </c:pt>
                <c:pt idx="200">
                  <c:v>64</c:v>
                </c:pt>
                <c:pt idx="201">
                  <c:v>64</c:v>
                </c:pt>
                <c:pt idx="202">
                  <c:v>64</c:v>
                </c:pt>
                <c:pt idx="203">
                  <c:v>64</c:v>
                </c:pt>
                <c:pt idx="204">
                  <c:v>64.2</c:v>
                </c:pt>
                <c:pt idx="205">
                  <c:v>64.2</c:v>
                </c:pt>
                <c:pt idx="206">
                  <c:v>64.2</c:v>
                </c:pt>
                <c:pt idx="207">
                  <c:v>64.2</c:v>
                </c:pt>
                <c:pt idx="208">
                  <c:v>64.2</c:v>
                </c:pt>
                <c:pt idx="209">
                  <c:v>64.2</c:v>
                </c:pt>
                <c:pt idx="210">
                  <c:v>64.2</c:v>
                </c:pt>
                <c:pt idx="211">
                  <c:v>64.400000000000006</c:v>
                </c:pt>
                <c:pt idx="212">
                  <c:v>64.400000000000006</c:v>
                </c:pt>
                <c:pt idx="213">
                  <c:v>64.400000000000006</c:v>
                </c:pt>
                <c:pt idx="214">
                  <c:v>64.400000000000006</c:v>
                </c:pt>
                <c:pt idx="215">
                  <c:v>64.400000000000006</c:v>
                </c:pt>
                <c:pt idx="216">
                  <c:v>64.400000000000006</c:v>
                </c:pt>
                <c:pt idx="217">
                  <c:v>64.400000000000006</c:v>
                </c:pt>
                <c:pt idx="218">
                  <c:v>64.5</c:v>
                </c:pt>
                <c:pt idx="219">
                  <c:v>64.5</c:v>
                </c:pt>
                <c:pt idx="220">
                  <c:v>64.5</c:v>
                </c:pt>
                <c:pt idx="221">
                  <c:v>64.5</c:v>
                </c:pt>
                <c:pt idx="222">
                  <c:v>64.5</c:v>
                </c:pt>
                <c:pt idx="223">
                  <c:v>64.5</c:v>
                </c:pt>
                <c:pt idx="224">
                  <c:v>64.5</c:v>
                </c:pt>
                <c:pt idx="225">
                  <c:v>64.599999999999994</c:v>
                </c:pt>
                <c:pt idx="226">
                  <c:v>64.599999999999994</c:v>
                </c:pt>
                <c:pt idx="227">
                  <c:v>64.599999999999994</c:v>
                </c:pt>
                <c:pt idx="228">
                  <c:v>64.599999999999994</c:v>
                </c:pt>
                <c:pt idx="229">
                  <c:v>64.599999999999994</c:v>
                </c:pt>
                <c:pt idx="230">
                  <c:v>64.599999999999994</c:v>
                </c:pt>
                <c:pt idx="231">
                  <c:v>64.599999999999994</c:v>
                </c:pt>
                <c:pt idx="232">
                  <c:v>64.7</c:v>
                </c:pt>
                <c:pt idx="233">
                  <c:v>64.7</c:v>
                </c:pt>
                <c:pt idx="234">
                  <c:v>64.7</c:v>
                </c:pt>
                <c:pt idx="235">
                  <c:v>64.7</c:v>
                </c:pt>
                <c:pt idx="236">
                  <c:v>64.7</c:v>
                </c:pt>
                <c:pt idx="237">
                  <c:v>64.7</c:v>
                </c:pt>
                <c:pt idx="238">
                  <c:v>64.7</c:v>
                </c:pt>
                <c:pt idx="239">
                  <c:v>64.900000000000006</c:v>
                </c:pt>
                <c:pt idx="240">
                  <c:v>64.900000000000006</c:v>
                </c:pt>
                <c:pt idx="241">
                  <c:v>64.900000000000006</c:v>
                </c:pt>
                <c:pt idx="242">
                  <c:v>64.900000000000006</c:v>
                </c:pt>
                <c:pt idx="243">
                  <c:v>64.900000000000006</c:v>
                </c:pt>
                <c:pt idx="244">
                  <c:v>64.900000000000006</c:v>
                </c:pt>
                <c:pt idx="245">
                  <c:v>64.900000000000006</c:v>
                </c:pt>
                <c:pt idx="246">
                  <c:v>65</c:v>
                </c:pt>
                <c:pt idx="247">
                  <c:v>65</c:v>
                </c:pt>
                <c:pt idx="248">
                  <c:v>65</c:v>
                </c:pt>
                <c:pt idx="249">
                  <c:v>65</c:v>
                </c:pt>
                <c:pt idx="250">
                  <c:v>65</c:v>
                </c:pt>
                <c:pt idx="251">
                  <c:v>65</c:v>
                </c:pt>
                <c:pt idx="252">
                  <c:v>65</c:v>
                </c:pt>
                <c:pt idx="253">
                  <c:v>65.099999999999994</c:v>
                </c:pt>
                <c:pt idx="254">
                  <c:v>65.099999999999994</c:v>
                </c:pt>
                <c:pt idx="255">
                  <c:v>65.099999999999994</c:v>
                </c:pt>
                <c:pt idx="256">
                  <c:v>65.099999999999994</c:v>
                </c:pt>
                <c:pt idx="257">
                  <c:v>65.099999999999994</c:v>
                </c:pt>
                <c:pt idx="258">
                  <c:v>65.099999999999994</c:v>
                </c:pt>
                <c:pt idx="259">
                  <c:v>65.099999999999994</c:v>
                </c:pt>
                <c:pt idx="260">
                  <c:v>65.2</c:v>
                </c:pt>
                <c:pt idx="261">
                  <c:v>65.2</c:v>
                </c:pt>
                <c:pt idx="262">
                  <c:v>65.2</c:v>
                </c:pt>
                <c:pt idx="263">
                  <c:v>65.2</c:v>
                </c:pt>
                <c:pt idx="264">
                  <c:v>65.2</c:v>
                </c:pt>
                <c:pt idx="265">
                  <c:v>65.2</c:v>
                </c:pt>
                <c:pt idx="266">
                  <c:v>65.2</c:v>
                </c:pt>
                <c:pt idx="267">
                  <c:v>65.3</c:v>
                </c:pt>
                <c:pt idx="268">
                  <c:v>65.3</c:v>
                </c:pt>
                <c:pt idx="269">
                  <c:v>65.3</c:v>
                </c:pt>
                <c:pt idx="270">
                  <c:v>65.3</c:v>
                </c:pt>
                <c:pt idx="271">
                  <c:v>65.3</c:v>
                </c:pt>
                <c:pt idx="272">
                  <c:v>65.3</c:v>
                </c:pt>
                <c:pt idx="273">
                  <c:v>65.3</c:v>
                </c:pt>
                <c:pt idx="274">
                  <c:v>65.400000000000006</c:v>
                </c:pt>
                <c:pt idx="275">
                  <c:v>65.400000000000006</c:v>
                </c:pt>
                <c:pt idx="276">
                  <c:v>65.400000000000006</c:v>
                </c:pt>
                <c:pt idx="277">
                  <c:v>65.400000000000006</c:v>
                </c:pt>
                <c:pt idx="278">
                  <c:v>65.400000000000006</c:v>
                </c:pt>
                <c:pt idx="279">
                  <c:v>65.400000000000006</c:v>
                </c:pt>
                <c:pt idx="280">
                  <c:v>65.400000000000006</c:v>
                </c:pt>
                <c:pt idx="281">
                  <c:v>65.5</c:v>
                </c:pt>
                <c:pt idx="282">
                  <c:v>65.5</c:v>
                </c:pt>
                <c:pt idx="283">
                  <c:v>65.5</c:v>
                </c:pt>
                <c:pt idx="284">
                  <c:v>65.5</c:v>
                </c:pt>
                <c:pt idx="285">
                  <c:v>65.5</c:v>
                </c:pt>
                <c:pt idx="286">
                  <c:v>65.5</c:v>
                </c:pt>
                <c:pt idx="287">
                  <c:v>65.5</c:v>
                </c:pt>
                <c:pt idx="288">
                  <c:v>65.5</c:v>
                </c:pt>
                <c:pt idx="289">
                  <c:v>65.5</c:v>
                </c:pt>
                <c:pt idx="290">
                  <c:v>65.5</c:v>
                </c:pt>
                <c:pt idx="291">
                  <c:v>65.5</c:v>
                </c:pt>
                <c:pt idx="292">
                  <c:v>65.5</c:v>
                </c:pt>
                <c:pt idx="293">
                  <c:v>65.5</c:v>
                </c:pt>
                <c:pt idx="294">
                  <c:v>65.5</c:v>
                </c:pt>
                <c:pt idx="295">
                  <c:v>65.5</c:v>
                </c:pt>
                <c:pt idx="296">
                  <c:v>65.5</c:v>
                </c:pt>
                <c:pt idx="297">
                  <c:v>65.5</c:v>
                </c:pt>
                <c:pt idx="298">
                  <c:v>65.5</c:v>
                </c:pt>
                <c:pt idx="299">
                  <c:v>65.5</c:v>
                </c:pt>
                <c:pt idx="300">
                  <c:v>65.5</c:v>
                </c:pt>
                <c:pt idx="301">
                  <c:v>65.5</c:v>
                </c:pt>
                <c:pt idx="302">
                  <c:v>65.599999999999994</c:v>
                </c:pt>
                <c:pt idx="303">
                  <c:v>65.599999999999994</c:v>
                </c:pt>
                <c:pt idx="304">
                  <c:v>65.599999999999994</c:v>
                </c:pt>
                <c:pt idx="305">
                  <c:v>65.599999999999994</c:v>
                </c:pt>
                <c:pt idx="306">
                  <c:v>65.599999999999994</c:v>
                </c:pt>
                <c:pt idx="307">
                  <c:v>65.599999999999994</c:v>
                </c:pt>
                <c:pt idx="308">
                  <c:v>65.599999999999994</c:v>
                </c:pt>
                <c:pt idx="309">
                  <c:v>65.599999999999994</c:v>
                </c:pt>
                <c:pt idx="310">
                  <c:v>65.599999999999994</c:v>
                </c:pt>
                <c:pt idx="311">
                  <c:v>65.599999999999994</c:v>
                </c:pt>
                <c:pt idx="312">
                  <c:v>65.599999999999994</c:v>
                </c:pt>
                <c:pt idx="313">
                  <c:v>65.599999999999994</c:v>
                </c:pt>
                <c:pt idx="314">
                  <c:v>65.599999999999994</c:v>
                </c:pt>
                <c:pt idx="315">
                  <c:v>65.599999999999994</c:v>
                </c:pt>
                <c:pt idx="316">
                  <c:v>65.599999999999994</c:v>
                </c:pt>
                <c:pt idx="317">
                  <c:v>65.599999999999994</c:v>
                </c:pt>
                <c:pt idx="318">
                  <c:v>65.599999999999994</c:v>
                </c:pt>
                <c:pt idx="319">
                  <c:v>65.599999999999994</c:v>
                </c:pt>
                <c:pt idx="320">
                  <c:v>65.599999999999994</c:v>
                </c:pt>
                <c:pt idx="321">
                  <c:v>65.599999999999994</c:v>
                </c:pt>
                <c:pt idx="322">
                  <c:v>65.599999999999994</c:v>
                </c:pt>
                <c:pt idx="323">
                  <c:v>65.599999999999994</c:v>
                </c:pt>
                <c:pt idx="324">
                  <c:v>65.599999999999994</c:v>
                </c:pt>
                <c:pt idx="325">
                  <c:v>65.599999999999994</c:v>
                </c:pt>
                <c:pt idx="326">
                  <c:v>65.599999999999994</c:v>
                </c:pt>
                <c:pt idx="327">
                  <c:v>65.599999999999994</c:v>
                </c:pt>
                <c:pt idx="328">
                  <c:v>65.599999999999994</c:v>
                </c:pt>
                <c:pt idx="329">
                  <c:v>65.599999999999994</c:v>
                </c:pt>
                <c:pt idx="330">
                  <c:v>65.7</c:v>
                </c:pt>
                <c:pt idx="331">
                  <c:v>65.7</c:v>
                </c:pt>
                <c:pt idx="332">
                  <c:v>65.7</c:v>
                </c:pt>
                <c:pt idx="333">
                  <c:v>65.7</c:v>
                </c:pt>
                <c:pt idx="334">
                  <c:v>65.7</c:v>
                </c:pt>
                <c:pt idx="335">
                  <c:v>65.7</c:v>
                </c:pt>
                <c:pt idx="336">
                  <c:v>65.7</c:v>
                </c:pt>
                <c:pt idx="337">
                  <c:v>65.7</c:v>
                </c:pt>
                <c:pt idx="338">
                  <c:v>65.7</c:v>
                </c:pt>
                <c:pt idx="339">
                  <c:v>65.7</c:v>
                </c:pt>
                <c:pt idx="340">
                  <c:v>65.7</c:v>
                </c:pt>
                <c:pt idx="341">
                  <c:v>65.7</c:v>
                </c:pt>
                <c:pt idx="342">
                  <c:v>65.7</c:v>
                </c:pt>
                <c:pt idx="343">
                  <c:v>65.7</c:v>
                </c:pt>
                <c:pt idx="344">
                  <c:v>65.7</c:v>
                </c:pt>
                <c:pt idx="345">
                  <c:v>65.7</c:v>
                </c:pt>
                <c:pt idx="346">
                  <c:v>65.7</c:v>
                </c:pt>
                <c:pt idx="347">
                  <c:v>65.7</c:v>
                </c:pt>
                <c:pt idx="348">
                  <c:v>65.7</c:v>
                </c:pt>
                <c:pt idx="349">
                  <c:v>65.7</c:v>
                </c:pt>
                <c:pt idx="350">
                  <c:v>65.7</c:v>
                </c:pt>
                <c:pt idx="351">
                  <c:v>65.7</c:v>
                </c:pt>
                <c:pt idx="352">
                  <c:v>65.7</c:v>
                </c:pt>
                <c:pt idx="353">
                  <c:v>65.7</c:v>
                </c:pt>
                <c:pt idx="354">
                  <c:v>65.7</c:v>
                </c:pt>
                <c:pt idx="355">
                  <c:v>65.7</c:v>
                </c:pt>
                <c:pt idx="356">
                  <c:v>65.7</c:v>
                </c:pt>
                <c:pt idx="357">
                  <c:v>65.7</c:v>
                </c:pt>
                <c:pt idx="358">
                  <c:v>65.8</c:v>
                </c:pt>
                <c:pt idx="359">
                  <c:v>65.8</c:v>
                </c:pt>
                <c:pt idx="360">
                  <c:v>65.8</c:v>
                </c:pt>
                <c:pt idx="361">
                  <c:v>65.8</c:v>
                </c:pt>
                <c:pt idx="362">
                  <c:v>65.8</c:v>
                </c:pt>
                <c:pt idx="363">
                  <c:v>65.8</c:v>
                </c:pt>
                <c:pt idx="364">
                  <c:v>65.8</c:v>
                </c:pt>
                <c:pt idx="365">
                  <c:v>65.8</c:v>
                </c:pt>
                <c:pt idx="366">
                  <c:v>65.8</c:v>
                </c:pt>
                <c:pt idx="367">
                  <c:v>65.8</c:v>
                </c:pt>
                <c:pt idx="368">
                  <c:v>65.8</c:v>
                </c:pt>
                <c:pt idx="369">
                  <c:v>65.8</c:v>
                </c:pt>
                <c:pt idx="370">
                  <c:v>65.8</c:v>
                </c:pt>
                <c:pt idx="371">
                  <c:v>65.8</c:v>
                </c:pt>
                <c:pt idx="372">
                  <c:v>65.8</c:v>
                </c:pt>
                <c:pt idx="373">
                  <c:v>65.8</c:v>
                </c:pt>
                <c:pt idx="374">
                  <c:v>65.8</c:v>
                </c:pt>
                <c:pt idx="375">
                  <c:v>65.8</c:v>
                </c:pt>
                <c:pt idx="376">
                  <c:v>65.8</c:v>
                </c:pt>
                <c:pt idx="377">
                  <c:v>65.8</c:v>
                </c:pt>
                <c:pt idx="378">
                  <c:v>65.8</c:v>
                </c:pt>
                <c:pt idx="379">
                  <c:v>65.8</c:v>
                </c:pt>
                <c:pt idx="380">
                  <c:v>65.8</c:v>
                </c:pt>
                <c:pt idx="381">
                  <c:v>65.8</c:v>
                </c:pt>
                <c:pt idx="382">
                  <c:v>65.8</c:v>
                </c:pt>
                <c:pt idx="383">
                  <c:v>65.8</c:v>
                </c:pt>
                <c:pt idx="384">
                  <c:v>65.8</c:v>
                </c:pt>
                <c:pt idx="385">
                  <c:v>65.8</c:v>
                </c:pt>
                <c:pt idx="386">
                  <c:v>65.900000000000006</c:v>
                </c:pt>
                <c:pt idx="387">
                  <c:v>65.900000000000006</c:v>
                </c:pt>
                <c:pt idx="388">
                  <c:v>65.900000000000006</c:v>
                </c:pt>
                <c:pt idx="389">
                  <c:v>65.900000000000006</c:v>
                </c:pt>
                <c:pt idx="390">
                  <c:v>65.900000000000006</c:v>
                </c:pt>
                <c:pt idx="391">
                  <c:v>65.900000000000006</c:v>
                </c:pt>
                <c:pt idx="392">
                  <c:v>65.900000000000006</c:v>
                </c:pt>
                <c:pt idx="393">
                  <c:v>65.900000000000006</c:v>
                </c:pt>
                <c:pt idx="394">
                  <c:v>65.900000000000006</c:v>
                </c:pt>
                <c:pt idx="395">
                  <c:v>65.900000000000006</c:v>
                </c:pt>
                <c:pt idx="396">
                  <c:v>65.900000000000006</c:v>
                </c:pt>
                <c:pt idx="397">
                  <c:v>65.900000000000006</c:v>
                </c:pt>
                <c:pt idx="398">
                  <c:v>65.900000000000006</c:v>
                </c:pt>
                <c:pt idx="399">
                  <c:v>65.900000000000006</c:v>
                </c:pt>
                <c:pt idx="400">
                  <c:v>65.900000000000006</c:v>
                </c:pt>
                <c:pt idx="401">
                  <c:v>65.900000000000006</c:v>
                </c:pt>
                <c:pt idx="402">
                  <c:v>65.900000000000006</c:v>
                </c:pt>
                <c:pt idx="403">
                  <c:v>65.900000000000006</c:v>
                </c:pt>
                <c:pt idx="404">
                  <c:v>65.900000000000006</c:v>
                </c:pt>
                <c:pt idx="405">
                  <c:v>65.900000000000006</c:v>
                </c:pt>
                <c:pt idx="406">
                  <c:v>65.900000000000006</c:v>
                </c:pt>
                <c:pt idx="407">
                  <c:v>65.900000000000006</c:v>
                </c:pt>
                <c:pt idx="408">
                  <c:v>65.900000000000006</c:v>
                </c:pt>
                <c:pt idx="409">
                  <c:v>65.900000000000006</c:v>
                </c:pt>
                <c:pt idx="410">
                  <c:v>65.900000000000006</c:v>
                </c:pt>
                <c:pt idx="411">
                  <c:v>65.900000000000006</c:v>
                </c:pt>
                <c:pt idx="412">
                  <c:v>65.900000000000006</c:v>
                </c:pt>
                <c:pt idx="413">
                  <c:v>65.900000000000006</c:v>
                </c:pt>
                <c:pt idx="414">
                  <c:v>66</c:v>
                </c:pt>
                <c:pt idx="415">
                  <c:v>66</c:v>
                </c:pt>
                <c:pt idx="416">
                  <c:v>66</c:v>
                </c:pt>
                <c:pt idx="417">
                  <c:v>66</c:v>
                </c:pt>
                <c:pt idx="418">
                  <c:v>66</c:v>
                </c:pt>
                <c:pt idx="419">
                  <c:v>66</c:v>
                </c:pt>
                <c:pt idx="420">
                  <c:v>66</c:v>
                </c:pt>
                <c:pt idx="421">
                  <c:v>66</c:v>
                </c:pt>
                <c:pt idx="422">
                  <c:v>66</c:v>
                </c:pt>
                <c:pt idx="423">
                  <c:v>66</c:v>
                </c:pt>
                <c:pt idx="424">
                  <c:v>66</c:v>
                </c:pt>
                <c:pt idx="425">
                  <c:v>66</c:v>
                </c:pt>
                <c:pt idx="426">
                  <c:v>66</c:v>
                </c:pt>
                <c:pt idx="427">
                  <c:v>66</c:v>
                </c:pt>
                <c:pt idx="428">
                  <c:v>66</c:v>
                </c:pt>
                <c:pt idx="429">
                  <c:v>66</c:v>
                </c:pt>
                <c:pt idx="430">
                  <c:v>66</c:v>
                </c:pt>
                <c:pt idx="431">
                  <c:v>66</c:v>
                </c:pt>
                <c:pt idx="432">
                  <c:v>66</c:v>
                </c:pt>
                <c:pt idx="433">
                  <c:v>66</c:v>
                </c:pt>
                <c:pt idx="434">
                  <c:v>66</c:v>
                </c:pt>
                <c:pt idx="435">
                  <c:v>66</c:v>
                </c:pt>
                <c:pt idx="436">
                  <c:v>66</c:v>
                </c:pt>
                <c:pt idx="437">
                  <c:v>66</c:v>
                </c:pt>
                <c:pt idx="438">
                  <c:v>66</c:v>
                </c:pt>
                <c:pt idx="439">
                  <c:v>66</c:v>
                </c:pt>
                <c:pt idx="440">
                  <c:v>66</c:v>
                </c:pt>
                <c:pt idx="441">
                  <c:v>66</c:v>
                </c:pt>
                <c:pt idx="442">
                  <c:v>66.099999999999994</c:v>
                </c:pt>
                <c:pt idx="443">
                  <c:v>66.099999999999994</c:v>
                </c:pt>
                <c:pt idx="444">
                  <c:v>66.099999999999994</c:v>
                </c:pt>
                <c:pt idx="445">
                  <c:v>66.099999999999994</c:v>
                </c:pt>
                <c:pt idx="446">
                  <c:v>66.099999999999994</c:v>
                </c:pt>
                <c:pt idx="447">
                  <c:v>66.099999999999994</c:v>
                </c:pt>
                <c:pt idx="448">
                  <c:v>66.099999999999994</c:v>
                </c:pt>
                <c:pt idx="449">
                  <c:v>66.099999999999994</c:v>
                </c:pt>
                <c:pt idx="450">
                  <c:v>66.099999999999994</c:v>
                </c:pt>
                <c:pt idx="451">
                  <c:v>66.099999999999994</c:v>
                </c:pt>
                <c:pt idx="452">
                  <c:v>66.099999999999994</c:v>
                </c:pt>
                <c:pt idx="453">
                  <c:v>66.099999999999994</c:v>
                </c:pt>
                <c:pt idx="454">
                  <c:v>66.099999999999994</c:v>
                </c:pt>
                <c:pt idx="455">
                  <c:v>66.099999999999994</c:v>
                </c:pt>
                <c:pt idx="456">
                  <c:v>66.099999999999994</c:v>
                </c:pt>
                <c:pt idx="457">
                  <c:v>66.099999999999994</c:v>
                </c:pt>
                <c:pt idx="458">
                  <c:v>66.099999999999994</c:v>
                </c:pt>
                <c:pt idx="459">
                  <c:v>66.099999999999994</c:v>
                </c:pt>
                <c:pt idx="460">
                  <c:v>66.099999999999994</c:v>
                </c:pt>
                <c:pt idx="461">
                  <c:v>66.099999999999994</c:v>
                </c:pt>
                <c:pt idx="462">
                  <c:v>66.099999999999994</c:v>
                </c:pt>
                <c:pt idx="463">
                  <c:v>66.099999999999994</c:v>
                </c:pt>
                <c:pt idx="464">
                  <c:v>66.099999999999994</c:v>
                </c:pt>
                <c:pt idx="465">
                  <c:v>66.099999999999994</c:v>
                </c:pt>
                <c:pt idx="466">
                  <c:v>66.099999999999994</c:v>
                </c:pt>
                <c:pt idx="467">
                  <c:v>66.099999999999994</c:v>
                </c:pt>
                <c:pt idx="468">
                  <c:v>66.099999999999994</c:v>
                </c:pt>
                <c:pt idx="469">
                  <c:v>66.099999999999994</c:v>
                </c:pt>
                <c:pt idx="470">
                  <c:v>66.2</c:v>
                </c:pt>
                <c:pt idx="471">
                  <c:v>66.2</c:v>
                </c:pt>
                <c:pt idx="472">
                  <c:v>66.2</c:v>
                </c:pt>
                <c:pt idx="473">
                  <c:v>66.2</c:v>
                </c:pt>
                <c:pt idx="474">
                  <c:v>66.2</c:v>
                </c:pt>
                <c:pt idx="475">
                  <c:v>66.2</c:v>
                </c:pt>
                <c:pt idx="476">
                  <c:v>66.2</c:v>
                </c:pt>
                <c:pt idx="477">
                  <c:v>66.2</c:v>
                </c:pt>
                <c:pt idx="478">
                  <c:v>66.2</c:v>
                </c:pt>
                <c:pt idx="479">
                  <c:v>66.2</c:v>
                </c:pt>
                <c:pt idx="480">
                  <c:v>66.2</c:v>
                </c:pt>
                <c:pt idx="481">
                  <c:v>66.2</c:v>
                </c:pt>
                <c:pt idx="482">
                  <c:v>66.2</c:v>
                </c:pt>
                <c:pt idx="483">
                  <c:v>66.2</c:v>
                </c:pt>
                <c:pt idx="484">
                  <c:v>66.2</c:v>
                </c:pt>
                <c:pt idx="485">
                  <c:v>66.2</c:v>
                </c:pt>
                <c:pt idx="486">
                  <c:v>66.2</c:v>
                </c:pt>
                <c:pt idx="487">
                  <c:v>66.2</c:v>
                </c:pt>
                <c:pt idx="488">
                  <c:v>66.2</c:v>
                </c:pt>
                <c:pt idx="489">
                  <c:v>66.2</c:v>
                </c:pt>
                <c:pt idx="490">
                  <c:v>66.2</c:v>
                </c:pt>
                <c:pt idx="491">
                  <c:v>66.2</c:v>
                </c:pt>
                <c:pt idx="492">
                  <c:v>66.2</c:v>
                </c:pt>
                <c:pt idx="493">
                  <c:v>66.2</c:v>
                </c:pt>
                <c:pt idx="494">
                  <c:v>66.2</c:v>
                </c:pt>
                <c:pt idx="495">
                  <c:v>66.2</c:v>
                </c:pt>
                <c:pt idx="496">
                  <c:v>66.2</c:v>
                </c:pt>
                <c:pt idx="49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93-40A4-BE4A-3AE2F6DB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760960"/>
        <c:axId val="607755712"/>
      </c:lineChart>
      <c:lineChart>
        <c:grouping val="standard"/>
        <c:varyColors val="0"/>
        <c:ser>
          <c:idx val="3"/>
          <c:order val="3"/>
          <c:tx>
            <c:strRef>
              <c:f>'tuot-PVÄ'!$K$1:$K$2</c:f>
              <c:strCache>
                <c:ptCount val="2"/>
                <c:pt idx="0">
                  <c:v>kanan paino (g)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'tuot-PVÄ'!$K$3:$K$500</c:f>
              <c:numCache>
                <c:formatCode>0</c:formatCode>
                <c:ptCount val="49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8-44ED-86AE-0A90898DD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379256"/>
        <c:axId val="390378600"/>
      </c:lineChart>
      <c:catAx>
        <c:axId val="60776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07755712"/>
        <c:crosses val="autoZero"/>
        <c:auto val="1"/>
        <c:lblAlgn val="ctr"/>
        <c:lblOffset val="100"/>
        <c:tickLblSkip val="14"/>
        <c:tickMarkSkip val="8"/>
        <c:noMultiLvlLbl val="0"/>
      </c:catAx>
      <c:valAx>
        <c:axId val="607755712"/>
        <c:scaling>
          <c:orientation val="minMax"/>
          <c:max val="13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07760960"/>
        <c:crosses val="autoZero"/>
        <c:crossBetween val="between"/>
      </c:valAx>
      <c:valAx>
        <c:axId val="390378600"/>
        <c:scaling>
          <c:orientation val="minMax"/>
          <c:max val="2100"/>
          <c:min val="12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90379256"/>
        <c:crosses val="max"/>
        <c:crossBetween val="between"/>
      </c:valAx>
      <c:catAx>
        <c:axId val="390379256"/>
        <c:scaling>
          <c:orientation val="minMax"/>
        </c:scaling>
        <c:delete val="1"/>
        <c:axPos val="b"/>
        <c:majorTickMark val="out"/>
        <c:minorTickMark val="none"/>
        <c:tickLblPos val="nextTo"/>
        <c:crossAx val="390378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'tuot-INFO'!$W$9</c:f>
              <c:strCache>
                <c:ptCount val="1"/>
                <c:pt idx="0">
                  <c:v>Muninta alaraja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'tuot-INFO'!$A$13:$A$90</c:f>
              <c:numCache>
                <c:formatCode>General</c:formatCode>
                <c:ptCount val="78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  <c:pt idx="63">
                  <c:v>81</c:v>
                </c:pt>
                <c:pt idx="64">
                  <c:v>82</c:v>
                </c:pt>
                <c:pt idx="65">
                  <c:v>83</c:v>
                </c:pt>
                <c:pt idx="66">
                  <c:v>84</c:v>
                </c:pt>
                <c:pt idx="67">
                  <c:v>85</c:v>
                </c:pt>
                <c:pt idx="68">
                  <c:v>86</c:v>
                </c:pt>
                <c:pt idx="69">
                  <c:v>87</c:v>
                </c:pt>
                <c:pt idx="70">
                  <c:v>88</c:v>
                </c:pt>
                <c:pt idx="71">
                  <c:v>89</c:v>
                </c:pt>
                <c:pt idx="72">
                  <c:v>90</c:v>
                </c:pt>
                <c:pt idx="73">
                  <c:v>91</c:v>
                </c:pt>
                <c:pt idx="74">
                  <c:v>92</c:v>
                </c:pt>
                <c:pt idx="75">
                  <c:v>93</c:v>
                </c:pt>
                <c:pt idx="76">
                  <c:v>94</c:v>
                </c:pt>
                <c:pt idx="77">
                  <c:v>95</c:v>
                </c:pt>
              </c:numCache>
            </c:numRef>
          </c:cat>
          <c:val>
            <c:numRef>
              <c:f>'tuot-INFO'!$W$13:$W$90</c:f>
              <c:numCache>
                <c:formatCode>0.0</c:formatCode>
                <c:ptCount val="78"/>
                <c:pt idx="1">
                  <c:v>9.3000000000000007</c:v>
                </c:pt>
                <c:pt idx="2">
                  <c:v>37.200000000000003</c:v>
                </c:pt>
                <c:pt idx="3">
                  <c:v>55.893000000000001</c:v>
                </c:pt>
                <c:pt idx="4">
                  <c:v>69.936000000000007</c:v>
                </c:pt>
                <c:pt idx="5">
                  <c:v>79.236000000000004</c:v>
                </c:pt>
                <c:pt idx="6">
                  <c:v>84.072000000000003</c:v>
                </c:pt>
                <c:pt idx="7">
                  <c:v>86.025000000000006</c:v>
                </c:pt>
                <c:pt idx="8">
                  <c:v>87.047999999999988</c:v>
                </c:pt>
                <c:pt idx="9">
                  <c:v>87.792000000000002</c:v>
                </c:pt>
                <c:pt idx="10">
                  <c:v>88.257000000000005</c:v>
                </c:pt>
                <c:pt idx="11">
                  <c:v>88.628999999999991</c:v>
                </c:pt>
                <c:pt idx="12">
                  <c:v>88.907999999999987</c:v>
                </c:pt>
                <c:pt idx="13">
                  <c:v>89.093999999999994</c:v>
                </c:pt>
                <c:pt idx="14">
                  <c:v>89.28</c:v>
                </c:pt>
                <c:pt idx="15">
                  <c:v>89.28</c:v>
                </c:pt>
                <c:pt idx="16">
                  <c:v>89.37299999999999</c:v>
                </c:pt>
                <c:pt idx="17">
                  <c:v>89.37299999999999</c:v>
                </c:pt>
                <c:pt idx="18">
                  <c:v>89.37299999999999</c:v>
                </c:pt>
                <c:pt idx="19">
                  <c:v>89.28</c:v>
                </c:pt>
                <c:pt idx="20">
                  <c:v>89.187000000000012</c:v>
                </c:pt>
                <c:pt idx="21">
                  <c:v>89.093999999999994</c:v>
                </c:pt>
                <c:pt idx="22">
                  <c:v>88.907999999999987</c:v>
                </c:pt>
                <c:pt idx="23">
                  <c:v>88.814999999999998</c:v>
                </c:pt>
                <c:pt idx="24">
                  <c:v>88.536000000000001</c:v>
                </c:pt>
                <c:pt idx="25">
                  <c:v>88.35</c:v>
                </c:pt>
                <c:pt idx="26">
                  <c:v>88.164000000000001</c:v>
                </c:pt>
                <c:pt idx="27">
                  <c:v>87.977999999999994</c:v>
                </c:pt>
                <c:pt idx="28">
                  <c:v>87.792000000000002</c:v>
                </c:pt>
                <c:pt idx="29">
                  <c:v>87.512999999999991</c:v>
                </c:pt>
                <c:pt idx="30">
                  <c:v>87.233999999999995</c:v>
                </c:pt>
                <c:pt idx="31">
                  <c:v>86.954999999999998</c:v>
                </c:pt>
                <c:pt idx="32">
                  <c:v>86.582999999999998</c:v>
                </c:pt>
                <c:pt idx="33">
                  <c:v>86.304000000000002</c:v>
                </c:pt>
                <c:pt idx="34">
                  <c:v>86.025000000000006</c:v>
                </c:pt>
                <c:pt idx="35">
                  <c:v>85.652999999999992</c:v>
                </c:pt>
                <c:pt idx="36">
                  <c:v>85.373999999999995</c:v>
                </c:pt>
                <c:pt idx="37">
                  <c:v>85.00200000000001</c:v>
                </c:pt>
                <c:pt idx="38">
                  <c:v>84.63</c:v>
                </c:pt>
                <c:pt idx="39">
                  <c:v>84.257999999999996</c:v>
                </c:pt>
                <c:pt idx="40">
                  <c:v>83.885999999999996</c:v>
                </c:pt>
                <c:pt idx="41">
                  <c:v>83.513999999999996</c:v>
                </c:pt>
                <c:pt idx="42">
                  <c:v>83.048999999999992</c:v>
                </c:pt>
                <c:pt idx="43">
                  <c:v>82.584000000000003</c:v>
                </c:pt>
                <c:pt idx="44">
                  <c:v>82.119</c:v>
                </c:pt>
                <c:pt idx="45">
                  <c:v>81.653999999999996</c:v>
                </c:pt>
                <c:pt idx="46">
                  <c:v>81.096000000000004</c:v>
                </c:pt>
                <c:pt idx="47">
                  <c:v>80.631</c:v>
                </c:pt>
                <c:pt idx="48">
                  <c:v>80.165999999999997</c:v>
                </c:pt>
                <c:pt idx="49">
                  <c:v>79.60799999999999</c:v>
                </c:pt>
                <c:pt idx="50">
                  <c:v>79.05</c:v>
                </c:pt>
                <c:pt idx="51">
                  <c:v>78.492000000000004</c:v>
                </c:pt>
                <c:pt idx="52">
                  <c:v>77.933999999999997</c:v>
                </c:pt>
                <c:pt idx="53">
                  <c:v>77.376000000000005</c:v>
                </c:pt>
                <c:pt idx="54">
                  <c:v>76.817999999999998</c:v>
                </c:pt>
                <c:pt idx="55">
                  <c:v>76.260000000000005</c:v>
                </c:pt>
                <c:pt idx="56">
                  <c:v>75.701999999999998</c:v>
                </c:pt>
                <c:pt idx="57">
                  <c:v>75.143999999999991</c:v>
                </c:pt>
                <c:pt idx="58">
                  <c:v>74.585999999999999</c:v>
                </c:pt>
                <c:pt idx="59">
                  <c:v>74.027999999999992</c:v>
                </c:pt>
                <c:pt idx="60">
                  <c:v>73.47</c:v>
                </c:pt>
                <c:pt idx="61">
                  <c:v>72.912000000000006</c:v>
                </c:pt>
                <c:pt idx="62">
                  <c:v>72.353999999999999</c:v>
                </c:pt>
                <c:pt idx="63">
                  <c:v>71.702999999999989</c:v>
                </c:pt>
                <c:pt idx="64">
                  <c:v>71.052000000000007</c:v>
                </c:pt>
                <c:pt idx="65">
                  <c:v>70.494</c:v>
                </c:pt>
                <c:pt idx="66">
                  <c:v>69.842999999999989</c:v>
                </c:pt>
                <c:pt idx="67">
                  <c:v>69.192000000000007</c:v>
                </c:pt>
                <c:pt idx="68">
                  <c:v>68.634</c:v>
                </c:pt>
                <c:pt idx="69">
                  <c:v>67.98299999999999</c:v>
                </c:pt>
                <c:pt idx="70">
                  <c:v>67.332000000000008</c:v>
                </c:pt>
                <c:pt idx="71">
                  <c:v>66.774000000000001</c:v>
                </c:pt>
                <c:pt idx="72">
                  <c:v>66.12299999999999</c:v>
                </c:pt>
                <c:pt idx="73">
                  <c:v>65.472000000000008</c:v>
                </c:pt>
                <c:pt idx="74">
                  <c:v>64.820999999999998</c:v>
                </c:pt>
                <c:pt idx="75">
                  <c:v>64.17</c:v>
                </c:pt>
                <c:pt idx="76">
                  <c:v>63.612000000000002</c:v>
                </c:pt>
                <c:pt idx="77">
                  <c:v>62.960999999999999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1A-488B-B85F-46EE2709B750}"/>
            </c:ext>
          </c:extLst>
        </c:ser>
        <c:ser>
          <c:idx val="2"/>
          <c:order val="1"/>
          <c:tx>
            <c:strRef>
              <c:f>'tuot-INFO'!$X$9</c:f>
              <c:strCache>
                <c:ptCount val="1"/>
                <c:pt idx="0">
                  <c:v>Muninta ero</c:v>
                </c:pt>
              </c:strCache>
            </c:strRef>
          </c:tx>
          <c:spPr>
            <a:solidFill>
              <a:schemeClr val="accent5">
                <a:alpha val="30000"/>
              </a:schemeClr>
            </a:solidFill>
            <a:ln w="6350">
              <a:noFill/>
            </a:ln>
            <a:effectLst/>
          </c:spPr>
          <c:cat>
            <c:numRef>
              <c:f>'tuot-INFO'!$A$13:$A$90</c:f>
              <c:numCache>
                <c:formatCode>General</c:formatCode>
                <c:ptCount val="78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  <c:pt idx="63">
                  <c:v>81</c:v>
                </c:pt>
                <c:pt idx="64">
                  <c:v>82</c:v>
                </c:pt>
                <c:pt idx="65">
                  <c:v>83</c:v>
                </c:pt>
                <c:pt idx="66">
                  <c:v>84</c:v>
                </c:pt>
                <c:pt idx="67">
                  <c:v>85</c:v>
                </c:pt>
                <c:pt idx="68">
                  <c:v>86</c:v>
                </c:pt>
                <c:pt idx="69">
                  <c:v>87</c:v>
                </c:pt>
                <c:pt idx="70">
                  <c:v>88</c:v>
                </c:pt>
                <c:pt idx="71">
                  <c:v>89</c:v>
                </c:pt>
                <c:pt idx="72">
                  <c:v>90</c:v>
                </c:pt>
                <c:pt idx="73">
                  <c:v>91</c:v>
                </c:pt>
                <c:pt idx="74">
                  <c:v>92</c:v>
                </c:pt>
                <c:pt idx="75">
                  <c:v>93</c:v>
                </c:pt>
                <c:pt idx="76">
                  <c:v>94</c:v>
                </c:pt>
                <c:pt idx="77">
                  <c:v>95</c:v>
                </c:pt>
              </c:numCache>
            </c:numRef>
          </c:cat>
          <c:val>
            <c:numRef>
              <c:f>'tuot-INFO'!$X$13:$X$90</c:f>
              <c:numCache>
                <c:formatCode>0.0</c:formatCode>
                <c:ptCount val="78"/>
                <c:pt idx="1">
                  <c:v>1</c:v>
                </c:pt>
                <c:pt idx="2">
                  <c:v>4</c:v>
                </c:pt>
                <c:pt idx="3">
                  <c:v>6.009999999999998</c:v>
                </c:pt>
                <c:pt idx="4">
                  <c:v>7.519999999999996</c:v>
                </c:pt>
                <c:pt idx="5">
                  <c:v>8.519999999999996</c:v>
                </c:pt>
                <c:pt idx="6">
                  <c:v>9.0400000000000063</c:v>
                </c:pt>
                <c:pt idx="7">
                  <c:v>9.25</c:v>
                </c:pt>
                <c:pt idx="8">
                  <c:v>9.36</c:v>
                </c:pt>
                <c:pt idx="9">
                  <c:v>9.4399999999999977</c:v>
                </c:pt>
                <c:pt idx="10">
                  <c:v>9.4899999999999949</c:v>
                </c:pt>
                <c:pt idx="11">
                  <c:v>9.5300000000000011</c:v>
                </c:pt>
                <c:pt idx="12">
                  <c:v>9.5600000000000023</c:v>
                </c:pt>
                <c:pt idx="13">
                  <c:v>9.5799999999999983</c:v>
                </c:pt>
                <c:pt idx="14">
                  <c:v>9.5999999999999943</c:v>
                </c:pt>
                <c:pt idx="15">
                  <c:v>9.5999999999999943</c:v>
                </c:pt>
                <c:pt idx="16">
                  <c:v>9.61</c:v>
                </c:pt>
                <c:pt idx="17">
                  <c:v>9.61</c:v>
                </c:pt>
                <c:pt idx="18">
                  <c:v>9.61</c:v>
                </c:pt>
                <c:pt idx="19">
                  <c:v>9.5999999999999943</c:v>
                </c:pt>
                <c:pt idx="20">
                  <c:v>9.5899999999999892</c:v>
                </c:pt>
                <c:pt idx="21">
                  <c:v>9.5799999999999983</c:v>
                </c:pt>
                <c:pt idx="22">
                  <c:v>9.5600000000000023</c:v>
                </c:pt>
                <c:pt idx="23">
                  <c:v>9.5499999999999972</c:v>
                </c:pt>
                <c:pt idx="24">
                  <c:v>9.519999999999996</c:v>
                </c:pt>
                <c:pt idx="25">
                  <c:v>9.5</c:v>
                </c:pt>
                <c:pt idx="26">
                  <c:v>9.4799999999999898</c:v>
                </c:pt>
                <c:pt idx="27">
                  <c:v>9.4599999999999937</c:v>
                </c:pt>
                <c:pt idx="28">
                  <c:v>9.4399999999999977</c:v>
                </c:pt>
                <c:pt idx="29">
                  <c:v>9.4099999999999966</c:v>
                </c:pt>
                <c:pt idx="30">
                  <c:v>9.3799999999999955</c:v>
                </c:pt>
                <c:pt idx="31">
                  <c:v>9.3500000000000085</c:v>
                </c:pt>
                <c:pt idx="32">
                  <c:v>9.3100000000000023</c:v>
                </c:pt>
                <c:pt idx="33">
                  <c:v>9.2800000000000011</c:v>
                </c:pt>
                <c:pt idx="34">
                  <c:v>9.25</c:v>
                </c:pt>
                <c:pt idx="35">
                  <c:v>9.210000000000008</c:v>
                </c:pt>
                <c:pt idx="36">
                  <c:v>9.1800000000000068</c:v>
                </c:pt>
                <c:pt idx="37">
                  <c:v>9.14</c:v>
                </c:pt>
                <c:pt idx="38">
                  <c:v>9.1000000000000085</c:v>
                </c:pt>
                <c:pt idx="39">
                  <c:v>9.0600000000000023</c:v>
                </c:pt>
                <c:pt idx="40">
                  <c:v>9.0200000000000102</c:v>
                </c:pt>
                <c:pt idx="41">
                  <c:v>8.980000000000004</c:v>
                </c:pt>
                <c:pt idx="42">
                  <c:v>8.9300000000000068</c:v>
                </c:pt>
                <c:pt idx="43">
                  <c:v>8.8799999999999955</c:v>
                </c:pt>
                <c:pt idx="44">
                  <c:v>8.8299999999999983</c:v>
                </c:pt>
                <c:pt idx="45">
                  <c:v>8.7800000000000011</c:v>
                </c:pt>
                <c:pt idx="46">
                  <c:v>8.7199999999999989</c:v>
                </c:pt>
                <c:pt idx="47">
                  <c:v>8.6700000000000017</c:v>
                </c:pt>
                <c:pt idx="48">
                  <c:v>8.6200000000000045</c:v>
                </c:pt>
                <c:pt idx="49">
                  <c:v>8.5600000000000023</c:v>
                </c:pt>
                <c:pt idx="50">
                  <c:v>8.5</c:v>
                </c:pt>
                <c:pt idx="51">
                  <c:v>8.4399999999999977</c:v>
                </c:pt>
                <c:pt idx="52">
                  <c:v>8.3799999999999955</c:v>
                </c:pt>
                <c:pt idx="53">
                  <c:v>8.3199999999999932</c:v>
                </c:pt>
                <c:pt idx="54">
                  <c:v>8.2599999999999909</c:v>
                </c:pt>
                <c:pt idx="55">
                  <c:v>8.1999999999999886</c:v>
                </c:pt>
                <c:pt idx="56">
                  <c:v>8.1400000000000148</c:v>
                </c:pt>
                <c:pt idx="57">
                  <c:v>8.0800000000000125</c:v>
                </c:pt>
                <c:pt idx="58">
                  <c:v>8.0200000000000102</c:v>
                </c:pt>
                <c:pt idx="59">
                  <c:v>7.960000000000008</c:v>
                </c:pt>
                <c:pt idx="60">
                  <c:v>7.9000000000000057</c:v>
                </c:pt>
                <c:pt idx="61">
                  <c:v>7.8400000000000034</c:v>
                </c:pt>
                <c:pt idx="62">
                  <c:v>7.7800000000000011</c:v>
                </c:pt>
                <c:pt idx="63">
                  <c:v>7.710000000000008</c:v>
                </c:pt>
                <c:pt idx="64">
                  <c:v>7.6400000000000006</c:v>
                </c:pt>
                <c:pt idx="65">
                  <c:v>7.5799999999999983</c:v>
                </c:pt>
                <c:pt idx="66">
                  <c:v>7.5100000000000051</c:v>
                </c:pt>
                <c:pt idx="67">
                  <c:v>7.4399999999999977</c:v>
                </c:pt>
                <c:pt idx="68">
                  <c:v>7.3799999999999955</c:v>
                </c:pt>
                <c:pt idx="69">
                  <c:v>7.3100000000000023</c:v>
                </c:pt>
                <c:pt idx="70">
                  <c:v>7.2399999999999949</c:v>
                </c:pt>
                <c:pt idx="71">
                  <c:v>7.1799999999999926</c:v>
                </c:pt>
                <c:pt idx="72">
                  <c:v>7.1099999999999994</c:v>
                </c:pt>
                <c:pt idx="73">
                  <c:v>7.039999999999992</c:v>
                </c:pt>
                <c:pt idx="74">
                  <c:v>6.9699999999999989</c:v>
                </c:pt>
                <c:pt idx="75">
                  <c:v>6.8999999999999915</c:v>
                </c:pt>
                <c:pt idx="76">
                  <c:v>6.8400000000000105</c:v>
                </c:pt>
                <c:pt idx="77">
                  <c:v>6.7700000000000102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1A-488B-B85F-46EE2709B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930664"/>
        <c:axId val="331930992"/>
      </c:areaChart>
      <c:lineChart>
        <c:grouping val="standard"/>
        <c:varyColors val="0"/>
        <c:ser>
          <c:idx val="3"/>
          <c:order val="2"/>
          <c:tx>
            <c:strRef>
              <c:f>'tuot-INFO'!$D$9</c:f>
              <c:strCache>
                <c:ptCount val="1"/>
                <c:pt idx="0">
                  <c:v>STD elävyys</c:v>
                </c:pt>
              </c:strCache>
            </c:strRef>
          </c:tx>
          <c:spPr>
            <a:ln w="76200" cap="rnd">
              <a:solidFill>
                <a:schemeClr val="accent1">
                  <a:alpha val="3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'tuot-INFO'!$D$13:$D$90</c:f>
              <c:numCache>
                <c:formatCode>0.0</c:formatCode>
                <c:ptCount val="78"/>
                <c:pt idx="1">
                  <c:v>100</c:v>
                </c:pt>
                <c:pt idx="2">
                  <c:v>100</c:v>
                </c:pt>
                <c:pt idx="3">
                  <c:v>99.833610648918466</c:v>
                </c:pt>
                <c:pt idx="4">
                  <c:v>99.734042553191486</c:v>
                </c:pt>
                <c:pt idx="5">
                  <c:v>99.765258215962433</c:v>
                </c:pt>
                <c:pt idx="6">
                  <c:v>99.55752212389379</c:v>
                </c:pt>
                <c:pt idx="7">
                  <c:v>99.459459459459467</c:v>
                </c:pt>
                <c:pt idx="8">
                  <c:v>99.358974358974365</c:v>
                </c:pt>
                <c:pt idx="9">
                  <c:v>99.36440677966101</c:v>
                </c:pt>
                <c:pt idx="10">
                  <c:v>99.262381454162281</c:v>
                </c:pt>
                <c:pt idx="11">
                  <c:v>99.160545645330529</c:v>
                </c:pt>
                <c:pt idx="12">
                  <c:v>99.058577405857747</c:v>
                </c:pt>
                <c:pt idx="13">
                  <c:v>98.956158663883087</c:v>
                </c:pt>
                <c:pt idx="14">
                  <c:v>98.75</c:v>
                </c:pt>
                <c:pt idx="15">
                  <c:v>98.75</c:v>
                </c:pt>
                <c:pt idx="16">
                  <c:v>98.647242455775242</c:v>
                </c:pt>
                <c:pt idx="17">
                  <c:v>98.543184183142571</c:v>
                </c:pt>
                <c:pt idx="18">
                  <c:v>98.439125910509887</c:v>
                </c:pt>
                <c:pt idx="19">
                  <c:v>98.333333333333343</c:v>
                </c:pt>
                <c:pt idx="20">
                  <c:v>98.227320125130348</c:v>
                </c:pt>
                <c:pt idx="21">
                  <c:v>98.121085594989566</c:v>
                </c:pt>
                <c:pt idx="22">
                  <c:v>98.012552301255241</c:v>
                </c:pt>
                <c:pt idx="23">
                  <c:v>97.905759162303667</c:v>
                </c:pt>
                <c:pt idx="24">
                  <c:v>97.899159663865547</c:v>
                </c:pt>
                <c:pt idx="25">
                  <c:v>97.789473684210535</c:v>
                </c:pt>
                <c:pt idx="26">
                  <c:v>97.679324894514764</c:v>
                </c:pt>
                <c:pt idx="27">
                  <c:v>97.568710359408044</c:v>
                </c:pt>
                <c:pt idx="28">
                  <c:v>97.351694915254242</c:v>
                </c:pt>
                <c:pt idx="29">
                  <c:v>97.343251859723694</c:v>
                </c:pt>
                <c:pt idx="30">
                  <c:v>97.228144989339029</c:v>
                </c:pt>
                <c:pt idx="31">
                  <c:v>97.112299465240639</c:v>
                </c:pt>
                <c:pt idx="32">
                  <c:v>97.099892588614395</c:v>
                </c:pt>
                <c:pt idx="33">
                  <c:v>96.982758620689651</c:v>
                </c:pt>
                <c:pt idx="34">
                  <c:v>96.86486486486487</c:v>
                </c:pt>
                <c:pt idx="35">
                  <c:v>96.742671009771982</c:v>
                </c:pt>
                <c:pt idx="36">
                  <c:v>96.623093681917211</c:v>
                </c:pt>
                <c:pt idx="37">
                  <c:v>96.498905908096276</c:v>
                </c:pt>
                <c:pt idx="38">
                  <c:v>96.483516483516482</c:v>
                </c:pt>
                <c:pt idx="39">
                  <c:v>96.357615894039739</c:v>
                </c:pt>
                <c:pt idx="40">
                  <c:v>96.230598669623063</c:v>
                </c:pt>
                <c:pt idx="41">
                  <c:v>96.102449888641431</c:v>
                </c:pt>
                <c:pt idx="42">
                  <c:v>95.968645016797311</c:v>
                </c:pt>
                <c:pt idx="43">
                  <c:v>95.945945945945951</c:v>
                </c:pt>
                <c:pt idx="44">
                  <c:v>95.809739524348799</c:v>
                </c:pt>
                <c:pt idx="45">
                  <c:v>95.671981776765378</c:v>
                </c:pt>
                <c:pt idx="46">
                  <c:v>95.642201834862391</c:v>
                </c:pt>
                <c:pt idx="47">
                  <c:v>95.501730103806224</c:v>
                </c:pt>
                <c:pt idx="48">
                  <c:v>95.359628770301612</c:v>
                </c:pt>
                <c:pt idx="49">
                  <c:v>95.327102803738313</c:v>
                </c:pt>
                <c:pt idx="50">
                  <c:v>95.17647058823529</c:v>
                </c:pt>
                <c:pt idx="51">
                  <c:v>95.142180094786724</c:v>
                </c:pt>
                <c:pt idx="52">
                  <c:v>94.988066825775647</c:v>
                </c:pt>
                <c:pt idx="53">
                  <c:v>94.951923076923066</c:v>
                </c:pt>
                <c:pt idx="54">
                  <c:v>94.794188861985475</c:v>
                </c:pt>
                <c:pt idx="55">
                  <c:v>94.756097560975618</c:v>
                </c:pt>
                <c:pt idx="56">
                  <c:v>94.594594594594582</c:v>
                </c:pt>
                <c:pt idx="57">
                  <c:v>94.554455445544562</c:v>
                </c:pt>
                <c:pt idx="58">
                  <c:v>94.389027431421439</c:v>
                </c:pt>
                <c:pt idx="59">
                  <c:v>94.346733668341713</c:v>
                </c:pt>
                <c:pt idx="60">
                  <c:v>94.177215189873422</c:v>
                </c:pt>
                <c:pt idx="61">
                  <c:v>94.005102040816325</c:v>
                </c:pt>
                <c:pt idx="62">
                  <c:v>93.958868894601551</c:v>
                </c:pt>
                <c:pt idx="63">
                  <c:v>93.904020752269787</c:v>
                </c:pt>
                <c:pt idx="64">
                  <c:v>93.84816753926701</c:v>
                </c:pt>
                <c:pt idx="65">
                  <c:v>93.667546174142473</c:v>
                </c:pt>
                <c:pt idx="66">
                  <c:v>93.608521970705723</c:v>
                </c:pt>
                <c:pt idx="67">
                  <c:v>93.548387096774178</c:v>
                </c:pt>
                <c:pt idx="68">
                  <c:v>93.360433604336052</c:v>
                </c:pt>
                <c:pt idx="69">
                  <c:v>93.296853625171011</c:v>
                </c:pt>
                <c:pt idx="70">
                  <c:v>93.232044198895025</c:v>
                </c:pt>
                <c:pt idx="71">
                  <c:v>93.036211699164355</c:v>
                </c:pt>
                <c:pt idx="72">
                  <c:v>92.9676511954993</c:v>
                </c:pt>
                <c:pt idx="73">
                  <c:v>92.897727272727266</c:v>
                </c:pt>
                <c:pt idx="74">
                  <c:v>92.826398852223818</c:v>
                </c:pt>
                <c:pt idx="75">
                  <c:v>92.753623188405797</c:v>
                </c:pt>
                <c:pt idx="76">
                  <c:v>92.543859649122794</c:v>
                </c:pt>
                <c:pt idx="77">
                  <c:v>92.466765140324952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E1A-488B-B85F-46EE2709B750}"/>
            </c:ext>
          </c:extLst>
        </c:ser>
        <c:ser>
          <c:idx val="4"/>
          <c:order val="3"/>
          <c:tx>
            <c:strRef>
              <c:f>'tuot-INFO'!$K$9</c:f>
              <c:strCache>
                <c:ptCount val="1"/>
                <c:pt idx="0">
                  <c:v>STD munapaino</c:v>
                </c:pt>
              </c:strCache>
            </c:strRef>
          </c:tx>
          <c:spPr>
            <a:ln w="76200" cap="rnd">
              <a:solidFill>
                <a:schemeClr val="accent6">
                  <a:alpha val="3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'tuot-INFO'!$K$13:$K$90</c:f>
              <c:numCache>
                <c:formatCode>0.0</c:formatCode>
                <c:ptCount val="78"/>
                <c:pt idx="1">
                  <c:v>44</c:v>
                </c:pt>
                <c:pt idx="2">
                  <c:v>48</c:v>
                </c:pt>
                <c:pt idx="3">
                  <c:v>51</c:v>
                </c:pt>
                <c:pt idx="4">
                  <c:v>53</c:v>
                </c:pt>
                <c:pt idx="5">
                  <c:v>54.5</c:v>
                </c:pt>
                <c:pt idx="6">
                  <c:v>55.8</c:v>
                </c:pt>
                <c:pt idx="7">
                  <c:v>56.8</c:v>
                </c:pt>
                <c:pt idx="8">
                  <c:v>57.6</c:v>
                </c:pt>
                <c:pt idx="9">
                  <c:v>58.3</c:v>
                </c:pt>
                <c:pt idx="10">
                  <c:v>59</c:v>
                </c:pt>
                <c:pt idx="11">
                  <c:v>59.6</c:v>
                </c:pt>
                <c:pt idx="12">
                  <c:v>60.1</c:v>
                </c:pt>
                <c:pt idx="13">
                  <c:v>60.5</c:v>
                </c:pt>
                <c:pt idx="14">
                  <c:v>60.9</c:v>
                </c:pt>
                <c:pt idx="15">
                  <c:v>61.3</c:v>
                </c:pt>
                <c:pt idx="16">
                  <c:v>61.6</c:v>
                </c:pt>
                <c:pt idx="17">
                  <c:v>61.8</c:v>
                </c:pt>
                <c:pt idx="18">
                  <c:v>62</c:v>
                </c:pt>
                <c:pt idx="19">
                  <c:v>62.2</c:v>
                </c:pt>
                <c:pt idx="20">
                  <c:v>62.4</c:v>
                </c:pt>
                <c:pt idx="21">
                  <c:v>62.6</c:v>
                </c:pt>
                <c:pt idx="22">
                  <c:v>62.8</c:v>
                </c:pt>
                <c:pt idx="23">
                  <c:v>63</c:v>
                </c:pt>
                <c:pt idx="24">
                  <c:v>63.2</c:v>
                </c:pt>
                <c:pt idx="25">
                  <c:v>63.4</c:v>
                </c:pt>
                <c:pt idx="26">
                  <c:v>63.6</c:v>
                </c:pt>
                <c:pt idx="27">
                  <c:v>63.8</c:v>
                </c:pt>
                <c:pt idx="28">
                  <c:v>64</c:v>
                </c:pt>
                <c:pt idx="29">
                  <c:v>64.2</c:v>
                </c:pt>
                <c:pt idx="30">
                  <c:v>64.400000000000006</c:v>
                </c:pt>
                <c:pt idx="31">
                  <c:v>64.5</c:v>
                </c:pt>
                <c:pt idx="32">
                  <c:v>64.599999999999994</c:v>
                </c:pt>
                <c:pt idx="33">
                  <c:v>64.7</c:v>
                </c:pt>
                <c:pt idx="34">
                  <c:v>64.900000000000006</c:v>
                </c:pt>
                <c:pt idx="35">
                  <c:v>65</c:v>
                </c:pt>
                <c:pt idx="36">
                  <c:v>65.099999999999994</c:v>
                </c:pt>
                <c:pt idx="37">
                  <c:v>65.2</c:v>
                </c:pt>
                <c:pt idx="38">
                  <c:v>65.3</c:v>
                </c:pt>
                <c:pt idx="39">
                  <c:v>65.400000000000006</c:v>
                </c:pt>
                <c:pt idx="40">
                  <c:v>65.5</c:v>
                </c:pt>
                <c:pt idx="41">
                  <c:v>65.5</c:v>
                </c:pt>
                <c:pt idx="42">
                  <c:v>65.5</c:v>
                </c:pt>
                <c:pt idx="43">
                  <c:v>65.599999999999994</c:v>
                </c:pt>
                <c:pt idx="44">
                  <c:v>65.599999999999994</c:v>
                </c:pt>
                <c:pt idx="45">
                  <c:v>65.599999999999994</c:v>
                </c:pt>
                <c:pt idx="46">
                  <c:v>65.599999999999994</c:v>
                </c:pt>
                <c:pt idx="47">
                  <c:v>65.7</c:v>
                </c:pt>
                <c:pt idx="48">
                  <c:v>65.7</c:v>
                </c:pt>
                <c:pt idx="49">
                  <c:v>65.7</c:v>
                </c:pt>
                <c:pt idx="50">
                  <c:v>65.7</c:v>
                </c:pt>
                <c:pt idx="51">
                  <c:v>65.8</c:v>
                </c:pt>
                <c:pt idx="52">
                  <c:v>65.8</c:v>
                </c:pt>
                <c:pt idx="53">
                  <c:v>65.8</c:v>
                </c:pt>
                <c:pt idx="54">
                  <c:v>65.8</c:v>
                </c:pt>
                <c:pt idx="55">
                  <c:v>65.900000000000006</c:v>
                </c:pt>
                <c:pt idx="56">
                  <c:v>65.900000000000006</c:v>
                </c:pt>
                <c:pt idx="57">
                  <c:v>65.900000000000006</c:v>
                </c:pt>
                <c:pt idx="58">
                  <c:v>65.900000000000006</c:v>
                </c:pt>
                <c:pt idx="59">
                  <c:v>66</c:v>
                </c:pt>
                <c:pt idx="60">
                  <c:v>66</c:v>
                </c:pt>
                <c:pt idx="61">
                  <c:v>66</c:v>
                </c:pt>
                <c:pt idx="62">
                  <c:v>66</c:v>
                </c:pt>
                <c:pt idx="63">
                  <c:v>66.099999999999994</c:v>
                </c:pt>
                <c:pt idx="64">
                  <c:v>66.099999999999994</c:v>
                </c:pt>
                <c:pt idx="65">
                  <c:v>66.099999999999994</c:v>
                </c:pt>
                <c:pt idx="66">
                  <c:v>66.099999999999994</c:v>
                </c:pt>
                <c:pt idx="67">
                  <c:v>66.2</c:v>
                </c:pt>
                <c:pt idx="68">
                  <c:v>66.2</c:v>
                </c:pt>
                <c:pt idx="69">
                  <c:v>66.2</c:v>
                </c:pt>
                <c:pt idx="70">
                  <c:v>66.2</c:v>
                </c:pt>
                <c:pt idx="71">
                  <c:v>66.3</c:v>
                </c:pt>
                <c:pt idx="72">
                  <c:v>66.3</c:v>
                </c:pt>
                <c:pt idx="73">
                  <c:v>66.3</c:v>
                </c:pt>
                <c:pt idx="74">
                  <c:v>66.3</c:v>
                </c:pt>
                <c:pt idx="75">
                  <c:v>66.3</c:v>
                </c:pt>
                <c:pt idx="76">
                  <c:v>66.3</c:v>
                </c:pt>
                <c:pt idx="77">
                  <c:v>66.3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1A-488B-B85F-46EE2709B750}"/>
            </c:ext>
          </c:extLst>
        </c:ser>
        <c:ser>
          <c:idx val="0"/>
          <c:order val="4"/>
          <c:tx>
            <c:v>elävyys-%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'tuot-INFO'!$A$13:$A$115</c:f>
              <c:numCache>
                <c:formatCode>General</c:formatCode>
                <c:ptCount val="10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  <c:pt idx="63">
                  <c:v>81</c:v>
                </c:pt>
                <c:pt idx="64">
                  <c:v>82</c:v>
                </c:pt>
                <c:pt idx="65">
                  <c:v>83</c:v>
                </c:pt>
                <c:pt idx="66">
                  <c:v>84</c:v>
                </c:pt>
                <c:pt idx="67">
                  <c:v>85</c:v>
                </c:pt>
                <c:pt idx="68">
                  <c:v>86</c:v>
                </c:pt>
                <c:pt idx="69">
                  <c:v>87</c:v>
                </c:pt>
                <c:pt idx="70">
                  <c:v>88</c:v>
                </c:pt>
                <c:pt idx="71">
                  <c:v>89</c:v>
                </c:pt>
                <c:pt idx="72">
                  <c:v>90</c:v>
                </c:pt>
                <c:pt idx="73">
                  <c:v>91</c:v>
                </c:pt>
                <c:pt idx="74">
                  <c:v>92</c:v>
                </c:pt>
                <c:pt idx="75">
                  <c:v>93</c:v>
                </c:pt>
                <c:pt idx="76">
                  <c:v>94</c:v>
                </c:pt>
                <c:pt idx="77">
                  <c:v>95</c:v>
                </c:pt>
                <c:pt idx="78">
                  <c:v>96</c:v>
                </c:pt>
                <c:pt idx="79">
                  <c:v>97</c:v>
                </c:pt>
                <c:pt idx="80">
                  <c:v>98</c:v>
                </c:pt>
                <c:pt idx="81">
                  <c:v>99</c:v>
                </c:pt>
                <c:pt idx="82">
                  <c:v>100</c:v>
                </c:pt>
                <c:pt idx="83">
                  <c:v>101</c:v>
                </c:pt>
                <c:pt idx="84">
                  <c:v>102</c:v>
                </c:pt>
                <c:pt idx="85">
                  <c:v>103</c:v>
                </c:pt>
                <c:pt idx="86">
                  <c:v>104</c:v>
                </c:pt>
                <c:pt idx="87">
                  <c:v>105</c:v>
                </c:pt>
                <c:pt idx="88">
                  <c:v>106</c:v>
                </c:pt>
                <c:pt idx="89">
                  <c:v>107</c:v>
                </c:pt>
                <c:pt idx="90">
                  <c:v>108</c:v>
                </c:pt>
                <c:pt idx="91">
                  <c:v>109</c:v>
                </c:pt>
                <c:pt idx="92">
                  <c:v>110</c:v>
                </c:pt>
                <c:pt idx="93">
                  <c:v>111</c:v>
                </c:pt>
                <c:pt idx="94">
                  <c:v>112</c:v>
                </c:pt>
                <c:pt idx="95">
                  <c:v>113</c:v>
                </c:pt>
                <c:pt idx="96">
                  <c:v>114</c:v>
                </c:pt>
                <c:pt idx="97">
                  <c:v>115</c:v>
                </c:pt>
                <c:pt idx="98">
                  <c:v>116</c:v>
                </c:pt>
                <c:pt idx="99">
                  <c:v>117</c:v>
                </c:pt>
                <c:pt idx="100">
                  <c:v>118</c:v>
                </c:pt>
                <c:pt idx="101">
                  <c:v>119</c:v>
                </c:pt>
                <c:pt idx="102">
                  <c:v>120</c:v>
                </c:pt>
              </c:numCache>
            </c:numRef>
          </c:cat>
          <c:val>
            <c:numRef>
              <c:f>'tuot-INFO'!$C$13:$C$90</c:f>
              <c:numCache>
                <c:formatCode>0.0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1A-488B-B85F-46EE2709B750}"/>
            </c:ext>
          </c:extLst>
        </c:ser>
        <c:ser>
          <c:idx val="5"/>
          <c:order val="5"/>
          <c:tx>
            <c:v>munapaino (g)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'tuot-INFO'!$J$13:$J$90</c:f>
              <c:numCache>
                <c:formatCode>0.0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E1A-488B-B85F-46EE2709B750}"/>
            </c:ext>
          </c:extLst>
        </c:ser>
        <c:ser>
          <c:idx val="7"/>
          <c:order val="6"/>
          <c:tx>
            <c:v>munamassa (g)</c:v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'tuot-INFO'!$AA$13:$AA$90</c:f>
              <c:numCache>
                <c:formatCode>0.0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E1A-488B-B85F-46EE2709B750}"/>
            </c:ext>
          </c:extLst>
        </c:ser>
        <c:ser>
          <c:idx val="6"/>
          <c:order val="7"/>
          <c:tx>
            <c:v>muninta-%</c:v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'tuot-INFO'!$E$13:$E$90</c:f>
              <c:numCache>
                <c:formatCode>0.0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E1A-488B-B85F-46EE2709B750}"/>
            </c:ext>
          </c:extLst>
        </c:ser>
        <c:ser>
          <c:idx val="8"/>
          <c:order val="8"/>
          <c:tx>
            <c:v>1.lk muninta-%</c:v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'tuot-INFO'!$F$13:$F$90</c:f>
              <c:numCache>
                <c:formatCode>0.0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C-4030-9CE2-3A73EC874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30664"/>
        <c:axId val="331930992"/>
      </c:lineChart>
      <c:catAx>
        <c:axId val="331930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ikä viikkoina</a:t>
                </a:r>
              </a:p>
            </c:rich>
          </c:tx>
          <c:layout>
            <c:manualLayout>
              <c:xMode val="edge"/>
              <c:yMode val="edge"/>
              <c:x val="0.90545289466856438"/>
              <c:y val="0.90965641863662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3193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331930992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31930664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2509331271587129"/>
          <c:y val="0.90832493027062056"/>
          <c:w val="0.58988105702637506"/>
          <c:h val="3.5354005249801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'rehu-vesi-INFO'!$M$9</c:f>
              <c:strCache>
                <c:ptCount val="1"/>
                <c:pt idx="0">
                  <c:v>STD MIN/10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'rehu-vesi-INFO'!$A$13:$A$90</c:f>
              <c:numCache>
                <c:formatCode>General</c:formatCode>
                <c:ptCount val="78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  <c:pt idx="63">
                  <c:v>81</c:v>
                </c:pt>
                <c:pt idx="64">
                  <c:v>82</c:v>
                </c:pt>
                <c:pt idx="65">
                  <c:v>83</c:v>
                </c:pt>
                <c:pt idx="66">
                  <c:v>84</c:v>
                </c:pt>
                <c:pt idx="67">
                  <c:v>85</c:v>
                </c:pt>
                <c:pt idx="68">
                  <c:v>86</c:v>
                </c:pt>
                <c:pt idx="69">
                  <c:v>87</c:v>
                </c:pt>
                <c:pt idx="70">
                  <c:v>88</c:v>
                </c:pt>
                <c:pt idx="71">
                  <c:v>89</c:v>
                </c:pt>
                <c:pt idx="72">
                  <c:v>90</c:v>
                </c:pt>
                <c:pt idx="73">
                  <c:v>91</c:v>
                </c:pt>
                <c:pt idx="74">
                  <c:v>92</c:v>
                </c:pt>
                <c:pt idx="75">
                  <c:v>93</c:v>
                </c:pt>
                <c:pt idx="76">
                  <c:v>94</c:v>
                </c:pt>
                <c:pt idx="77">
                  <c:v>95</c:v>
                </c:pt>
              </c:numCache>
            </c:numRef>
          </c:cat>
          <c:val>
            <c:numRef>
              <c:f>'rehu-vesi-INFO'!$M$13:$M$90</c:f>
              <c:numCache>
                <c:formatCode>0.0</c:formatCode>
                <c:ptCount val="78"/>
                <c:pt idx="0">
                  <c:v>122.6</c:v>
                </c:pt>
                <c:pt idx="1">
                  <c:v>128.19999999999999</c:v>
                </c:pt>
                <c:pt idx="2">
                  <c:v>134.4</c:v>
                </c:pt>
                <c:pt idx="3">
                  <c:v>140.69999999999999</c:v>
                </c:pt>
                <c:pt idx="4">
                  <c:v>145.5</c:v>
                </c:pt>
                <c:pt idx="5">
                  <c:v>149.4</c:v>
                </c:pt>
                <c:pt idx="6">
                  <c:v>153.30000000000001</c:v>
                </c:pt>
                <c:pt idx="7">
                  <c:v>156.19999999999999</c:v>
                </c:pt>
                <c:pt idx="8">
                  <c:v>158.4</c:v>
                </c:pt>
                <c:pt idx="9">
                  <c:v>160.1</c:v>
                </c:pt>
                <c:pt idx="10">
                  <c:v>162</c:v>
                </c:pt>
                <c:pt idx="11">
                  <c:v>163.9</c:v>
                </c:pt>
                <c:pt idx="12">
                  <c:v>164.9</c:v>
                </c:pt>
                <c:pt idx="13">
                  <c:v>165.4</c:v>
                </c:pt>
                <c:pt idx="14">
                  <c:v>165.9</c:v>
                </c:pt>
                <c:pt idx="15">
                  <c:v>166.1</c:v>
                </c:pt>
                <c:pt idx="16">
                  <c:v>166.4</c:v>
                </c:pt>
                <c:pt idx="17">
                  <c:v>166.6</c:v>
                </c:pt>
                <c:pt idx="18">
                  <c:v>166.8</c:v>
                </c:pt>
                <c:pt idx="19">
                  <c:v>167.1</c:v>
                </c:pt>
                <c:pt idx="20">
                  <c:v>167.3</c:v>
                </c:pt>
                <c:pt idx="21">
                  <c:v>167.6</c:v>
                </c:pt>
                <c:pt idx="22">
                  <c:v>167.8</c:v>
                </c:pt>
                <c:pt idx="23">
                  <c:v>168.1</c:v>
                </c:pt>
                <c:pt idx="24">
                  <c:v>168.3</c:v>
                </c:pt>
                <c:pt idx="25">
                  <c:v>168.5</c:v>
                </c:pt>
                <c:pt idx="26">
                  <c:v>168.8</c:v>
                </c:pt>
                <c:pt idx="27">
                  <c:v>169</c:v>
                </c:pt>
                <c:pt idx="28">
                  <c:v>169.3</c:v>
                </c:pt>
                <c:pt idx="29">
                  <c:v>169.5</c:v>
                </c:pt>
                <c:pt idx="30">
                  <c:v>169.8</c:v>
                </c:pt>
                <c:pt idx="31">
                  <c:v>169.9</c:v>
                </c:pt>
                <c:pt idx="32">
                  <c:v>170</c:v>
                </c:pt>
                <c:pt idx="33">
                  <c:v>170.1</c:v>
                </c:pt>
                <c:pt idx="34">
                  <c:v>170.2</c:v>
                </c:pt>
                <c:pt idx="35">
                  <c:v>170.4</c:v>
                </c:pt>
                <c:pt idx="36">
                  <c:v>170.5</c:v>
                </c:pt>
                <c:pt idx="37">
                  <c:v>170.6</c:v>
                </c:pt>
                <c:pt idx="38">
                  <c:v>170.7</c:v>
                </c:pt>
                <c:pt idx="39">
                  <c:v>170.8</c:v>
                </c:pt>
                <c:pt idx="40">
                  <c:v>171</c:v>
                </c:pt>
                <c:pt idx="41">
                  <c:v>171.1</c:v>
                </c:pt>
                <c:pt idx="42">
                  <c:v>171.2</c:v>
                </c:pt>
                <c:pt idx="43">
                  <c:v>171.3</c:v>
                </c:pt>
                <c:pt idx="44">
                  <c:v>171.4</c:v>
                </c:pt>
                <c:pt idx="45">
                  <c:v>171.6</c:v>
                </c:pt>
                <c:pt idx="46">
                  <c:v>171.7</c:v>
                </c:pt>
                <c:pt idx="47">
                  <c:v>171.8</c:v>
                </c:pt>
                <c:pt idx="48">
                  <c:v>171.9</c:v>
                </c:pt>
                <c:pt idx="49">
                  <c:v>172.1</c:v>
                </c:pt>
                <c:pt idx="50">
                  <c:v>172.2</c:v>
                </c:pt>
                <c:pt idx="51">
                  <c:v>172.3</c:v>
                </c:pt>
                <c:pt idx="52">
                  <c:v>172.4</c:v>
                </c:pt>
                <c:pt idx="53">
                  <c:v>172.5</c:v>
                </c:pt>
                <c:pt idx="54">
                  <c:v>172.7</c:v>
                </c:pt>
                <c:pt idx="55">
                  <c:v>172.8</c:v>
                </c:pt>
                <c:pt idx="56">
                  <c:v>172.9</c:v>
                </c:pt>
                <c:pt idx="57">
                  <c:v>173</c:v>
                </c:pt>
                <c:pt idx="58">
                  <c:v>173</c:v>
                </c:pt>
                <c:pt idx="59">
                  <c:v>173.1</c:v>
                </c:pt>
                <c:pt idx="60">
                  <c:v>173.2</c:v>
                </c:pt>
                <c:pt idx="61">
                  <c:v>173.3</c:v>
                </c:pt>
                <c:pt idx="62">
                  <c:v>173.4</c:v>
                </c:pt>
                <c:pt idx="63">
                  <c:v>173.5</c:v>
                </c:pt>
                <c:pt idx="64">
                  <c:v>173.6</c:v>
                </c:pt>
                <c:pt idx="65">
                  <c:v>173.7</c:v>
                </c:pt>
                <c:pt idx="66">
                  <c:v>173.8</c:v>
                </c:pt>
                <c:pt idx="67">
                  <c:v>173.9</c:v>
                </c:pt>
                <c:pt idx="68">
                  <c:v>174</c:v>
                </c:pt>
                <c:pt idx="69">
                  <c:v>174.1</c:v>
                </c:pt>
                <c:pt idx="70">
                  <c:v>174.2</c:v>
                </c:pt>
                <c:pt idx="71">
                  <c:v>174.2</c:v>
                </c:pt>
                <c:pt idx="72">
                  <c:v>174.3</c:v>
                </c:pt>
                <c:pt idx="73">
                  <c:v>174.4</c:v>
                </c:pt>
                <c:pt idx="74">
                  <c:v>174.4</c:v>
                </c:pt>
                <c:pt idx="75">
                  <c:v>174.5</c:v>
                </c:pt>
                <c:pt idx="76">
                  <c:v>174.5</c:v>
                </c:pt>
                <c:pt idx="77">
                  <c:v>174.6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2B-4D68-AE12-A05AB2FF07D8}"/>
            </c:ext>
          </c:extLst>
        </c:ser>
        <c:ser>
          <c:idx val="0"/>
          <c:order val="1"/>
          <c:tx>
            <c:strRef>
              <c:f>'rehu-vesi-INFO'!$O$9</c:f>
              <c:strCache>
                <c:ptCount val="1"/>
                <c:pt idx="0">
                  <c:v>Ero</c:v>
                </c:pt>
              </c:strCache>
            </c:strRef>
          </c:tx>
          <c:spPr>
            <a:solidFill>
              <a:schemeClr val="accent1">
                <a:alpha val="30000"/>
              </a:schemeClr>
            </a:solidFill>
            <a:ln>
              <a:noFill/>
            </a:ln>
            <a:effectLst/>
          </c:spPr>
          <c:cat>
            <c:numRef>
              <c:f>'rehu-vesi-INFO'!$A$13:$A$90</c:f>
              <c:numCache>
                <c:formatCode>General</c:formatCode>
                <c:ptCount val="78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  <c:pt idx="63">
                  <c:v>81</c:v>
                </c:pt>
                <c:pt idx="64">
                  <c:v>82</c:v>
                </c:pt>
                <c:pt idx="65">
                  <c:v>83</c:v>
                </c:pt>
                <c:pt idx="66">
                  <c:v>84</c:v>
                </c:pt>
                <c:pt idx="67">
                  <c:v>85</c:v>
                </c:pt>
                <c:pt idx="68">
                  <c:v>86</c:v>
                </c:pt>
                <c:pt idx="69">
                  <c:v>87</c:v>
                </c:pt>
                <c:pt idx="70">
                  <c:v>88</c:v>
                </c:pt>
                <c:pt idx="71">
                  <c:v>89</c:v>
                </c:pt>
                <c:pt idx="72">
                  <c:v>90</c:v>
                </c:pt>
                <c:pt idx="73">
                  <c:v>91</c:v>
                </c:pt>
                <c:pt idx="74">
                  <c:v>92</c:v>
                </c:pt>
                <c:pt idx="75">
                  <c:v>93</c:v>
                </c:pt>
                <c:pt idx="76">
                  <c:v>94</c:v>
                </c:pt>
                <c:pt idx="77">
                  <c:v>95</c:v>
                </c:pt>
              </c:numCache>
            </c:numRef>
          </c:cat>
          <c:val>
            <c:numRef>
              <c:f>'rehu-vesi-INFO'!$O$13:$O$90</c:f>
              <c:numCache>
                <c:formatCode>0.0</c:formatCode>
                <c:ptCount val="78"/>
                <c:pt idx="0">
                  <c:v>7.5999999999999943</c:v>
                </c:pt>
                <c:pt idx="1">
                  <c:v>8</c:v>
                </c:pt>
                <c:pt idx="2">
                  <c:v>8.4000000000000057</c:v>
                </c:pt>
                <c:pt idx="3">
                  <c:v>8.7000000000000171</c:v>
                </c:pt>
                <c:pt idx="4">
                  <c:v>9</c:v>
                </c:pt>
                <c:pt idx="5">
                  <c:v>9.1999999999999886</c:v>
                </c:pt>
                <c:pt idx="6">
                  <c:v>9.3999999999999773</c:v>
                </c:pt>
                <c:pt idx="7">
                  <c:v>9.6000000000000227</c:v>
                </c:pt>
                <c:pt idx="8">
                  <c:v>9.5</c:v>
                </c:pt>
                <c:pt idx="9">
                  <c:v>9.9000000000000057</c:v>
                </c:pt>
                <c:pt idx="10">
                  <c:v>10</c:v>
                </c:pt>
                <c:pt idx="11">
                  <c:v>10.199999999999989</c:v>
                </c:pt>
                <c:pt idx="12">
                  <c:v>10.199999999999989</c:v>
                </c:pt>
                <c:pt idx="13">
                  <c:v>10.199999999999989</c:v>
                </c:pt>
                <c:pt idx="14">
                  <c:v>10.199999999999989</c:v>
                </c:pt>
                <c:pt idx="15">
                  <c:v>10.300000000000011</c:v>
                </c:pt>
                <c:pt idx="16">
                  <c:v>10.199999999999989</c:v>
                </c:pt>
                <c:pt idx="17">
                  <c:v>10.300000000000011</c:v>
                </c:pt>
                <c:pt idx="18">
                  <c:v>10.399999999999977</c:v>
                </c:pt>
                <c:pt idx="19">
                  <c:v>10.300000000000011</c:v>
                </c:pt>
                <c:pt idx="20">
                  <c:v>10.399999999999977</c:v>
                </c:pt>
                <c:pt idx="21">
                  <c:v>10.300000000000011</c:v>
                </c:pt>
                <c:pt idx="22">
                  <c:v>10.399999999999977</c:v>
                </c:pt>
                <c:pt idx="23">
                  <c:v>10.300000000000011</c:v>
                </c:pt>
                <c:pt idx="24">
                  <c:v>10.399999999999977</c:v>
                </c:pt>
                <c:pt idx="25">
                  <c:v>10.5</c:v>
                </c:pt>
                <c:pt idx="26">
                  <c:v>10.399999999999977</c:v>
                </c:pt>
                <c:pt idx="27">
                  <c:v>10.5</c:v>
                </c:pt>
                <c:pt idx="28">
                  <c:v>10.399999999999977</c:v>
                </c:pt>
                <c:pt idx="29">
                  <c:v>10.5</c:v>
                </c:pt>
                <c:pt idx="30">
                  <c:v>10.5</c:v>
                </c:pt>
                <c:pt idx="31">
                  <c:v>10.5</c:v>
                </c:pt>
                <c:pt idx="32">
                  <c:v>10.5</c:v>
                </c:pt>
                <c:pt idx="33">
                  <c:v>10.5</c:v>
                </c:pt>
                <c:pt idx="34">
                  <c:v>10.600000000000023</c:v>
                </c:pt>
                <c:pt idx="35">
                  <c:v>10.5</c:v>
                </c:pt>
                <c:pt idx="36">
                  <c:v>10.5</c:v>
                </c:pt>
                <c:pt idx="37">
                  <c:v>10.599999999999994</c:v>
                </c:pt>
                <c:pt idx="38">
                  <c:v>10.600000000000023</c:v>
                </c:pt>
                <c:pt idx="39">
                  <c:v>10.599999999999994</c:v>
                </c:pt>
                <c:pt idx="40">
                  <c:v>10.5</c:v>
                </c:pt>
                <c:pt idx="41">
                  <c:v>10.599999999999994</c:v>
                </c:pt>
                <c:pt idx="42">
                  <c:v>10.600000000000023</c:v>
                </c:pt>
                <c:pt idx="43">
                  <c:v>10.599999999999994</c:v>
                </c:pt>
                <c:pt idx="44">
                  <c:v>10.699999999999989</c:v>
                </c:pt>
                <c:pt idx="45">
                  <c:v>10.599999999999994</c:v>
                </c:pt>
                <c:pt idx="46">
                  <c:v>10.600000000000023</c:v>
                </c:pt>
                <c:pt idx="47">
                  <c:v>10.599999999999994</c:v>
                </c:pt>
                <c:pt idx="48">
                  <c:v>10.699999999999989</c:v>
                </c:pt>
                <c:pt idx="49">
                  <c:v>10.599999999999994</c:v>
                </c:pt>
                <c:pt idx="50">
                  <c:v>10.600000000000023</c:v>
                </c:pt>
                <c:pt idx="51">
                  <c:v>10.699999999999989</c:v>
                </c:pt>
                <c:pt idx="52">
                  <c:v>10.699999999999989</c:v>
                </c:pt>
                <c:pt idx="53">
                  <c:v>10.699999999999989</c:v>
                </c:pt>
                <c:pt idx="54">
                  <c:v>10.600000000000023</c:v>
                </c:pt>
                <c:pt idx="55">
                  <c:v>10.599999999999994</c:v>
                </c:pt>
                <c:pt idx="56">
                  <c:v>10.599999999999994</c:v>
                </c:pt>
                <c:pt idx="57">
                  <c:v>10.599999999999994</c:v>
                </c:pt>
                <c:pt idx="58">
                  <c:v>10.800000000000011</c:v>
                </c:pt>
                <c:pt idx="59">
                  <c:v>10.800000000000011</c:v>
                </c:pt>
                <c:pt idx="60">
                  <c:v>10.800000000000011</c:v>
                </c:pt>
                <c:pt idx="61">
                  <c:v>10.799999999999983</c:v>
                </c:pt>
                <c:pt idx="62">
                  <c:v>10.799999999999983</c:v>
                </c:pt>
                <c:pt idx="63">
                  <c:v>10.800000000000011</c:v>
                </c:pt>
                <c:pt idx="64">
                  <c:v>10.800000000000011</c:v>
                </c:pt>
                <c:pt idx="65">
                  <c:v>10.800000000000011</c:v>
                </c:pt>
                <c:pt idx="66">
                  <c:v>10.799999999999983</c:v>
                </c:pt>
                <c:pt idx="67">
                  <c:v>10.799999999999983</c:v>
                </c:pt>
                <c:pt idx="68">
                  <c:v>10.800000000000011</c:v>
                </c:pt>
                <c:pt idx="69">
                  <c:v>10.800000000000011</c:v>
                </c:pt>
                <c:pt idx="70">
                  <c:v>10.700000000000017</c:v>
                </c:pt>
                <c:pt idx="71">
                  <c:v>10.800000000000011</c:v>
                </c:pt>
                <c:pt idx="72">
                  <c:v>10.799999999999983</c:v>
                </c:pt>
                <c:pt idx="73">
                  <c:v>10.699999999999989</c:v>
                </c:pt>
                <c:pt idx="74">
                  <c:v>10.799999999999983</c:v>
                </c:pt>
                <c:pt idx="75">
                  <c:v>10.699999999999989</c:v>
                </c:pt>
                <c:pt idx="76">
                  <c:v>10.800000000000011</c:v>
                </c:pt>
                <c:pt idx="77">
                  <c:v>10.700000000000017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B-4D68-AE12-A05AB2FF0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984200"/>
        <c:axId val="503983544"/>
      </c:areaChart>
      <c:lineChart>
        <c:grouping val="standard"/>
        <c:varyColors val="0"/>
        <c:ser>
          <c:idx val="2"/>
          <c:order val="2"/>
          <c:tx>
            <c:v>kanan paino (g/10)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'rehu-vesi-INFO'!$A$13:$A$75</c:f>
              <c:numCache>
                <c:formatCode>General</c:formatCode>
                <c:ptCount val="6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'rehu-vesi-INFO'!$J$13:$J$90</c:f>
              <c:numCache>
                <c:formatCode>[=0]\ ;0.0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B-4D68-AE12-A05AB2FF07D8}"/>
            </c:ext>
          </c:extLst>
        </c:ser>
        <c:ser>
          <c:idx val="3"/>
          <c:order val="3"/>
          <c:tx>
            <c:v>rehukulutus (g/pvä)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'rehu-vesi-INFO'!$D$13:$D$90</c:f>
              <c:numCache>
                <c:formatCode>[=0]\ ;0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2B-4D68-AE12-A05AB2FF0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984200"/>
        <c:axId val="503983544"/>
      </c:lineChart>
      <c:lineChart>
        <c:grouping val="standard"/>
        <c:varyColors val="0"/>
        <c:ser>
          <c:idx val="4"/>
          <c:order val="4"/>
          <c:tx>
            <c:v>RHS/vko</c:v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'rehu-vesi-INFO'!$H$13:$H$90</c:f>
              <c:numCache>
                <c:formatCode>[=0]\ ;0.0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2B-4D68-AE12-A05AB2FF07D8}"/>
            </c:ext>
          </c:extLst>
        </c:ser>
        <c:ser>
          <c:idx val="5"/>
          <c:order val="5"/>
          <c:tx>
            <c:v>RHS kum.</c:v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'rehu-vesi-INFO'!$I$13:$I$90</c:f>
              <c:numCache>
                <c:formatCode>[=0]\ ;0.0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2B-4D68-AE12-A05AB2FF07D8}"/>
            </c:ext>
          </c:extLst>
        </c:ser>
        <c:ser>
          <c:idx val="6"/>
          <c:order val="6"/>
          <c:tx>
            <c:strRef>
              <c:f>'rehu-vesi-INFO'!$G$9</c:f>
              <c:strCache>
                <c:ptCount val="1"/>
                <c:pt idx="0">
                  <c:v>vesi / rehu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'rehu-vesi-INFO'!$G$10:$G$90</c:f>
              <c:numCache>
                <c:formatCode>[=0]\ ;0.000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E-4894-B242-82D6A208C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75592"/>
        <c:axId val="528874280"/>
      </c:lineChart>
      <c:catAx>
        <c:axId val="503984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39835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03983544"/>
        <c:scaling>
          <c:orientation val="minMax"/>
          <c:max val="2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3984200"/>
        <c:crosses val="autoZero"/>
        <c:crossBetween val="midCat"/>
        <c:majorUnit val="10"/>
        <c:minorUnit val="5"/>
      </c:valAx>
      <c:valAx>
        <c:axId val="528874280"/>
        <c:scaling>
          <c:orientation val="minMax"/>
          <c:max val="4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28875592"/>
        <c:crosses val="max"/>
        <c:crossBetween val="between"/>
      </c:valAx>
      <c:catAx>
        <c:axId val="528875592"/>
        <c:scaling>
          <c:orientation val="minMax"/>
        </c:scaling>
        <c:delete val="1"/>
        <c:axPos val="b"/>
        <c:majorTickMark val="out"/>
        <c:minorTickMark val="none"/>
        <c:tickLblPos val="nextTo"/>
        <c:crossAx val="5288742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Kaavio7">
    <tabColor theme="9"/>
  </sheetPr>
  <sheetViews>
    <sheetView zoomScale="179" workbookViewId="0" zoomToFit="1"/>
  </sheetViews>
  <sheetProtection algorithmName="SHA-512" hashValue="HJJGLusEE87DlSBkvSSepLLdeEUgSsYHshxmtNY7uyLxVvJJ3YAR4pOeBilAPzQMDEawUDPJ++u+IbSrAPOYDw==" saltValue="ibfriEXoJZ5o3NDTM3AIcA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theme="7"/>
  </sheetPr>
  <sheetViews>
    <sheetView zoomScale="177" workbookViewId="0" zoomToFit="1"/>
  </sheetViews>
  <sheetProtection algorithmName="SHA-512" hashValue="0c2e7LJc1Gh+yGgSmqHNYU5q6VwzK5s+PPMwiN5TUdUKaw9U2vbpwda3KW7rrx8QiD62QISN+4EuL+I4yIdmsw==" saltValue="MZfLGoKWWDWCWvKFr5p7xA==" spinCount="100000" content="1" objects="1"/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Kaavio8">
    <tabColor theme="7"/>
  </sheetPr>
  <sheetViews>
    <sheetView zoomScale="177" workbookViewId="0" zoomToFit="1"/>
  </sheetViews>
  <sheetProtection algorithmName="SHA-512" hashValue="yqKYfLOrtvYTTE7FQ6o5cj7j60WV3p/Z+ZdFvjn4sB4DuPPCX4zS/zwFKcqV9h0KymZkPuqD1z1wpujbnqr7ag==" saltValue="HlOXzH79VU/nZFG/jwzEpA==" spinCount="100000" content="1" objects="1"/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8"/>
  </sheetPr>
  <sheetViews>
    <sheetView zoomScale="177" workbookViewId="0" zoomToFit="1"/>
  </sheetViews>
  <sheetProtection algorithmName="SHA-512" hashValue="Q+70fkusvmTLI3oyvpVgFGXCpJmxj2nCcBEBzU19LfIbmVWnRVPGjk5gFmQ/jlRuITaXvNCItQQxCYUeCsNAEg==" saltValue="xfzQFLnLmCWw5+TQYXpNHw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737" cy="6061944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0.01554</cdr:x>
      <cdr:y>0.0141</cdr:y>
    </cdr:from>
    <cdr:to>
      <cdr:x>0.05123</cdr:x>
      <cdr:y>0.07666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144480" y="85618"/>
          <a:ext cx="331770" cy="379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i-FI" sz="1100"/>
            <a:t>g</a:t>
          </a:r>
        </a:p>
      </cdr:txBody>
    </cdr:sp>
  </cdr:relSizeAnchor>
  <cdr:relSizeAnchor xmlns:cdr="http://schemas.openxmlformats.org/drawingml/2006/chartDrawing">
    <cdr:from>
      <cdr:x>0.94538</cdr:x>
      <cdr:y>0.01674</cdr:y>
    </cdr:from>
    <cdr:to>
      <cdr:x>0.9809</cdr:x>
      <cdr:y>0.06344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8788114" y="101672"/>
          <a:ext cx="330202" cy="283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5551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5551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0.00351</cdr:x>
      <cdr:y>0.01791</cdr:y>
    </cdr:from>
    <cdr:to>
      <cdr:x>0.05791</cdr:x>
      <cdr:y>0.07432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32657" y="108857"/>
          <a:ext cx="50618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i-FI" sz="1100"/>
            <a:t>g / %</a:t>
          </a:r>
        </a:p>
      </cdr:txBody>
    </cdr:sp>
  </cdr:relSizeAnchor>
  <cdr:relSizeAnchor xmlns:cdr="http://schemas.openxmlformats.org/drawingml/2006/chartDrawing">
    <cdr:from>
      <cdr:x>0.17594</cdr:x>
      <cdr:y>0.74579</cdr:y>
    </cdr:from>
    <cdr:to>
      <cdr:x>0.27959</cdr:x>
      <cdr:y>0.82584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1634260" y="4520916"/>
          <a:ext cx="962778" cy="48529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 b="1" baseline="0"/>
            <a:t>Viikot &gt; 90%</a:t>
          </a:r>
        </a:p>
      </cdr:txBody>
    </cdr:sp>
  </cdr:relSizeAnchor>
  <cdr:relSizeAnchor xmlns:cdr="http://schemas.openxmlformats.org/drawingml/2006/chartDrawing">
    <cdr:from>
      <cdr:x>0.20362</cdr:x>
      <cdr:y>0.79053</cdr:y>
    </cdr:from>
    <cdr:to>
      <cdr:x>0.24713</cdr:x>
      <cdr:y>0.82677</cdr:y>
    </cdr:to>
    <cdr:sp macro="" textlink="'tuot-INFO'!$AB$116">
      <cdr:nvSpPr>
        <cdr:cNvPr id="4" name="Tekstiruutu 3"/>
        <cdr:cNvSpPr txBox="1"/>
      </cdr:nvSpPr>
      <cdr:spPr>
        <a:xfrm xmlns:a="http://schemas.openxmlformats.org/drawingml/2006/main">
          <a:off x="1891407" y="4792149"/>
          <a:ext cx="404153" cy="219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05612F6-9F1D-4D30-BAF8-8D255D079E18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/>
            <a:t>0</a:t>
          </a:fld>
          <a:endParaRPr lang="fi-FI" sz="1100" b="1"/>
        </a:p>
      </cdr:txBody>
    </cdr:sp>
  </cdr:relSizeAnchor>
  <cdr:relSizeAnchor xmlns:cdr="http://schemas.openxmlformats.org/drawingml/2006/chartDrawing">
    <cdr:from>
      <cdr:x>0.29465</cdr:x>
      <cdr:y>0.7486</cdr:y>
    </cdr:from>
    <cdr:to>
      <cdr:x>0.45617</cdr:x>
      <cdr:y>0.82584</cdr:y>
    </cdr:to>
    <cdr:sp macro="" textlink="">
      <cdr:nvSpPr>
        <cdr:cNvPr id="6" name="Tekstiruutu 1"/>
        <cdr:cNvSpPr txBox="1"/>
      </cdr:nvSpPr>
      <cdr:spPr>
        <a:xfrm xmlns:a="http://schemas.openxmlformats.org/drawingml/2006/main">
          <a:off x="2736926" y="4537944"/>
          <a:ext cx="1500317" cy="46826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20000"/>
            <a:lumOff val="8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100" b="1" baseline="0"/>
            <a:t>munien lkm/alk. kana</a:t>
          </a:r>
        </a:p>
      </cdr:txBody>
    </cdr:sp>
  </cdr:relSizeAnchor>
  <cdr:relSizeAnchor xmlns:cdr="http://schemas.openxmlformats.org/drawingml/2006/chartDrawing">
    <cdr:from>
      <cdr:x>0.47187</cdr:x>
      <cdr:y>0.74789</cdr:y>
    </cdr:from>
    <cdr:to>
      <cdr:x>0.56494</cdr:x>
      <cdr:y>0.82514</cdr:y>
    </cdr:to>
    <cdr:sp macro="" textlink="">
      <cdr:nvSpPr>
        <cdr:cNvPr id="7" name="Tekstiruutu 1"/>
        <cdr:cNvSpPr txBox="1"/>
      </cdr:nvSpPr>
      <cdr:spPr>
        <a:xfrm xmlns:a="http://schemas.openxmlformats.org/drawingml/2006/main">
          <a:off x="4383076" y="4533688"/>
          <a:ext cx="864503" cy="46826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20000"/>
            <a:lumOff val="8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100" b="1" baseline="0"/>
            <a:t>elävyys</a:t>
          </a:r>
        </a:p>
      </cdr:txBody>
    </cdr:sp>
  </cdr:relSizeAnchor>
  <cdr:relSizeAnchor xmlns:cdr="http://schemas.openxmlformats.org/drawingml/2006/chartDrawing">
    <cdr:from>
      <cdr:x>0.58128</cdr:x>
      <cdr:y>0.74579</cdr:y>
    </cdr:from>
    <cdr:to>
      <cdr:x>0.7428</cdr:x>
      <cdr:y>0.82514</cdr:y>
    </cdr:to>
    <cdr:sp macro="" textlink="">
      <cdr:nvSpPr>
        <cdr:cNvPr id="8" name="Tekstiruutu 1"/>
        <cdr:cNvSpPr txBox="1"/>
      </cdr:nvSpPr>
      <cdr:spPr>
        <a:xfrm xmlns:a="http://schemas.openxmlformats.org/drawingml/2006/main">
          <a:off x="5399357" y="4520916"/>
          <a:ext cx="1500317" cy="48103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20000"/>
            <a:lumOff val="8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100" b="1" baseline="0"/>
            <a:t>kumulat. munan paino</a:t>
          </a:r>
        </a:p>
      </cdr:txBody>
    </cdr:sp>
  </cdr:relSizeAnchor>
  <cdr:relSizeAnchor xmlns:cdr="http://schemas.openxmlformats.org/drawingml/2006/chartDrawing">
    <cdr:from>
      <cdr:x>0.7553</cdr:x>
      <cdr:y>0.74789</cdr:y>
    </cdr:from>
    <cdr:to>
      <cdr:x>0.91683</cdr:x>
      <cdr:y>0.82584</cdr:y>
    </cdr:to>
    <cdr:sp macro="" textlink="">
      <cdr:nvSpPr>
        <cdr:cNvPr id="9" name="Tekstiruutu 1"/>
        <cdr:cNvSpPr txBox="1"/>
      </cdr:nvSpPr>
      <cdr:spPr>
        <a:xfrm xmlns:a="http://schemas.openxmlformats.org/drawingml/2006/main">
          <a:off x="7015783" y="4533687"/>
          <a:ext cx="1500410" cy="4725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20000"/>
            <a:lumOff val="8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100" b="1" baseline="0"/>
            <a:t>kumulat. munamassa</a:t>
          </a:r>
        </a:p>
      </cdr:txBody>
    </cdr:sp>
  </cdr:relSizeAnchor>
  <cdr:relSizeAnchor xmlns:cdr="http://schemas.openxmlformats.org/drawingml/2006/chartDrawing">
    <cdr:from>
      <cdr:x>0.35077</cdr:x>
      <cdr:y>0.78094</cdr:y>
    </cdr:from>
    <cdr:to>
      <cdr:x>0.40801</cdr:x>
      <cdr:y>0.81718</cdr:y>
    </cdr:to>
    <cdr:sp macro="" textlink="'tuot-INFO'!$H$115">
      <cdr:nvSpPr>
        <cdr:cNvPr id="10" name="Tekstiruutu 1"/>
        <cdr:cNvSpPr txBox="1"/>
      </cdr:nvSpPr>
      <cdr:spPr>
        <a:xfrm xmlns:a="http://schemas.openxmlformats.org/drawingml/2006/main">
          <a:off x="3258194" y="4734020"/>
          <a:ext cx="531688" cy="2196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0672C35-CF5A-445C-B9C6-A5F45BCCD225}" type="TxLink">
            <a:rPr lang="en-US" sz="1100" b="1" i="0" u="none" strike="noStrike">
              <a:solidFill>
                <a:srgbClr val="000000"/>
              </a:solidFill>
              <a:latin typeface="Calibri"/>
              <a:cs typeface="Arial"/>
            </a:rPr>
            <a:pPr/>
            <a:t>0,0</a:t>
          </a:fld>
          <a:endParaRPr lang="fi-FI" sz="1100" b="1"/>
        </a:p>
      </cdr:txBody>
    </cdr:sp>
  </cdr:relSizeAnchor>
  <cdr:relSizeAnchor xmlns:cdr="http://schemas.openxmlformats.org/drawingml/2006/chartDrawing">
    <cdr:from>
      <cdr:x>0.49589</cdr:x>
      <cdr:y>0.77981</cdr:y>
    </cdr:from>
    <cdr:to>
      <cdr:x>0.55889</cdr:x>
      <cdr:y>0.81605</cdr:y>
    </cdr:to>
    <cdr:sp macro="" textlink="'tuot-INFO'!$C$115">
      <cdr:nvSpPr>
        <cdr:cNvPr id="11" name="Tekstiruutu 1"/>
        <cdr:cNvSpPr txBox="1"/>
      </cdr:nvSpPr>
      <cdr:spPr>
        <a:xfrm xmlns:a="http://schemas.openxmlformats.org/drawingml/2006/main">
          <a:off x="4606166" y="4727189"/>
          <a:ext cx="585191" cy="219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A0B76BDA-1A46-4AAF-93FB-45F40FF9E500}" type="TxLink">
            <a:rPr lang="en-US" sz="1100" b="1" i="0" u="none" strike="noStrike">
              <a:solidFill>
                <a:srgbClr val="000000"/>
              </a:solidFill>
              <a:latin typeface="Calibri"/>
              <a:cs typeface="Arial"/>
            </a:rPr>
            <a:pPr/>
            <a:t>100,0</a:t>
          </a:fld>
          <a:endParaRPr lang="fi-FI" sz="1100" b="1"/>
        </a:p>
      </cdr:txBody>
    </cdr:sp>
  </cdr:relSizeAnchor>
  <cdr:relSizeAnchor xmlns:cdr="http://schemas.openxmlformats.org/drawingml/2006/chartDrawing">
    <cdr:from>
      <cdr:x>0.64792</cdr:x>
      <cdr:y>0.77829</cdr:y>
    </cdr:from>
    <cdr:to>
      <cdr:x>0.70708</cdr:x>
      <cdr:y>0.81452</cdr:y>
    </cdr:to>
    <cdr:sp macro="" textlink="'tuot-INFO'!$L$115">
      <cdr:nvSpPr>
        <cdr:cNvPr id="12" name="Tekstiruutu 1"/>
        <cdr:cNvSpPr txBox="1"/>
      </cdr:nvSpPr>
      <cdr:spPr>
        <a:xfrm xmlns:a="http://schemas.openxmlformats.org/drawingml/2006/main">
          <a:off x="6018386" y="4717943"/>
          <a:ext cx="549522" cy="21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4EDBBF5C-B6DE-4415-85D9-513726FAD9DD}" type="TxLink">
            <a:rPr lang="en-US" sz="1100" b="1" i="0" u="none" strike="noStrike">
              <a:solidFill>
                <a:srgbClr val="000000"/>
              </a:solidFill>
              <a:latin typeface="Calibri"/>
              <a:cs typeface="Arial"/>
            </a:rPr>
            <a:pPr/>
            <a:t>0,0</a:t>
          </a:fld>
          <a:endParaRPr lang="fi-FI" sz="1100" b="1"/>
        </a:p>
      </cdr:txBody>
    </cdr:sp>
  </cdr:relSizeAnchor>
  <cdr:relSizeAnchor xmlns:cdr="http://schemas.openxmlformats.org/drawingml/2006/chartDrawing">
    <cdr:from>
      <cdr:x>0.80765</cdr:x>
      <cdr:y>0.77829</cdr:y>
    </cdr:from>
    <cdr:to>
      <cdr:x>0.86233</cdr:x>
      <cdr:y>0.81452</cdr:y>
    </cdr:to>
    <cdr:sp macro="" textlink="'tuot-INFO'!$P$115">
      <cdr:nvSpPr>
        <cdr:cNvPr id="13" name="Tekstiruutu 1"/>
        <cdr:cNvSpPr txBox="1"/>
      </cdr:nvSpPr>
      <cdr:spPr>
        <a:xfrm xmlns:a="http://schemas.openxmlformats.org/drawingml/2006/main">
          <a:off x="7502039" y="4717943"/>
          <a:ext cx="507908" cy="21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CF1A762B-C19A-4CC2-B082-0CFE4635320D}" type="TxLink">
            <a:rPr lang="en-US" sz="1100" b="1" i="0" u="none" strike="noStrike">
              <a:solidFill>
                <a:srgbClr val="000000"/>
              </a:solidFill>
              <a:latin typeface="Calibri"/>
              <a:cs typeface="Arial"/>
            </a:rPr>
            <a:pPr/>
            <a:t>0,00</a:t>
          </a:fld>
          <a:endParaRPr lang="fi-FI" sz="1100" b="1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5551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immo.kankare@lskpoultry.fi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B2:C29"/>
  <sheetViews>
    <sheetView tabSelected="1" workbookViewId="0">
      <selection activeCell="F22" sqref="F22"/>
    </sheetView>
  </sheetViews>
  <sheetFormatPr defaultRowHeight="15" x14ac:dyDescent="0.25"/>
  <cols>
    <col min="2" max="2" width="19.5703125" customWidth="1"/>
  </cols>
  <sheetData>
    <row r="2" spans="2:3" ht="33.75" x14ac:dyDescent="0.5">
      <c r="B2" s="260" t="s">
        <v>184</v>
      </c>
    </row>
    <row r="3" spans="2:3" ht="21" x14ac:dyDescent="0.35">
      <c r="B3" s="261" t="s">
        <v>185</v>
      </c>
    </row>
    <row r="5" spans="2:3" x14ac:dyDescent="0.25">
      <c r="B5" t="s">
        <v>186</v>
      </c>
    </row>
    <row r="6" spans="2:3" x14ac:dyDescent="0.25">
      <c r="B6" t="s">
        <v>187</v>
      </c>
    </row>
    <row r="8" spans="2:3" x14ac:dyDescent="0.25">
      <c r="B8" s="173" t="s">
        <v>188</v>
      </c>
      <c r="C8" s="259" t="s">
        <v>189</v>
      </c>
    </row>
    <row r="9" spans="2:3" x14ac:dyDescent="0.25">
      <c r="B9" s="173"/>
      <c r="C9" s="259"/>
    </row>
    <row r="10" spans="2:3" x14ac:dyDescent="0.25">
      <c r="B10" s="262" t="s">
        <v>205</v>
      </c>
      <c r="C10" s="259"/>
    </row>
    <row r="11" spans="2:3" x14ac:dyDescent="0.25">
      <c r="B11" s="173"/>
      <c r="C11" s="259"/>
    </row>
    <row r="14" spans="2:3" x14ac:dyDescent="0.25">
      <c r="B14" s="173" t="s">
        <v>183</v>
      </c>
    </row>
    <row r="15" spans="2:3" x14ac:dyDescent="0.25">
      <c r="B15" t="s">
        <v>182</v>
      </c>
      <c r="C15" t="s">
        <v>190</v>
      </c>
    </row>
    <row r="16" spans="2:3" x14ac:dyDescent="0.25">
      <c r="B16" t="s">
        <v>137</v>
      </c>
      <c r="C16" t="s">
        <v>195</v>
      </c>
    </row>
    <row r="17" spans="2:3" x14ac:dyDescent="0.25">
      <c r="B17" t="s">
        <v>181</v>
      </c>
      <c r="C17" t="s">
        <v>191</v>
      </c>
    </row>
    <row r="18" spans="2:3" x14ac:dyDescent="0.25">
      <c r="B18" t="s">
        <v>138</v>
      </c>
      <c r="C18" t="s">
        <v>192</v>
      </c>
    </row>
    <row r="19" spans="2:3" x14ac:dyDescent="0.25">
      <c r="B19" t="s">
        <v>139</v>
      </c>
      <c r="C19" t="s">
        <v>193</v>
      </c>
    </row>
    <row r="20" spans="2:3" x14ac:dyDescent="0.25">
      <c r="B20" t="s">
        <v>140</v>
      </c>
      <c r="C20" t="s">
        <v>194</v>
      </c>
    </row>
    <row r="21" spans="2:3" x14ac:dyDescent="0.25">
      <c r="B21" t="s">
        <v>141</v>
      </c>
      <c r="C21" t="s">
        <v>196</v>
      </c>
    </row>
    <row r="22" spans="2:3" x14ac:dyDescent="0.25">
      <c r="B22" t="s">
        <v>142</v>
      </c>
      <c r="C22" t="s">
        <v>197</v>
      </c>
    </row>
    <row r="23" spans="2:3" x14ac:dyDescent="0.25">
      <c r="B23" t="s">
        <v>143</v>
      </c>
      <c r="C23" t="s">
        <v>198</v>
      </c>
    </row>
    <row r="24" spans="2:3" x14ac:dyDescent="0.25">
      <c r="B24" t="s">
        <v>144</v>
      </c>
      <c r="C24" t="s">
        <v>199</v>
      </c>
    </row>
    <row r="25" spans="2:3" x14ac:dyDescent="0.25">
      <c r="B25" t="s">
        <v>145</v>
      </c>
      <c r="C25" t="s">
        <v>200</v>
      </c>
    </row>
    <row r="26" spans="2:3" x14ac:dyDescent="0.25">
      <c r="B26" t="s">
        <v>148</v>
      </c>
      <c r="C26" t="s">
        <v>201</v>
      </c>
    </row>
    <row r="27" spans="2:3" x14ac:dyDescent="0.25">
      <c r="C27" t="s">
        <v>202</v>
      </c>
    </row>
    <row r="28" spans="2:3" x14ac:dyDescent="0.25">
      <c r="B28" t="s">
        <v>146</v>
      </c>
      <c r="C28" t="s">
        <v>203</v>
      </c>
    </row>
    <row r="29" spans="2:3" x14ac:dyDescent="0.25">
      <c r="B29" t="s">
        <v>147</v>
      </c>
      <c r="C29" t="s">
        <v>204</v>
      </c>
    </row>
  </sheetData>
  <sheetProtection algorithmName="SHA-512" hashValue="VxHH4eibidcbGkZXJpKJB7fdVe3X4AbMsScViegSs2ckWcmoaHccEVD6DrmwRMstePARAia47LEIduWOlElI/Q==" saltValue="ryCLg/EbIYZzRgnGHOKerA==" spinCount="100000" sheet="1" objects="1" scenarios="1" selectLockedCells="1"/>
  <hyperlinks>
    <hyperlink ref="C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ul6">
    <tabColor theme="8"/>
  </sheetPr>
  <dimension ref="A1:AD116"/>
  <sheetViews>
    <sheetView workbookViewId="0">
      <selection activeCell="D7" sqref="D7"/>
    </sheetView>
  </sheetViews>
  <sheetFormatPr defaultColWidth="11.5703125" defaultRowHeight="15" x14ac:dyDescent="0.25"/>
  <cols>
    <col min="1" max="1" width="5.42578125" style="11" customWidth="1"/>
    <col min="2" max="2" width="10.140625" style="4" customWidth="1"/>
    <col min="3" max="3" width="7.28515625" style="1" customWidth="1"/>
    <col min="4" max="4" width="7.28515625" style="4" customWidth="1"/>
    <col min="5" max="5" width="14.42578125" style="3" customWidth="1"/>
    <col min="6" max="8" width="7.28515625" style="4" customWidth="1"/>
    <col min="9" max="9" width="7.28515625" style="1" customWidth="1"/>
    <col min="10" max="11" width="8.85546875" style="1" customWidth="1"/>
    <col min="12" max="12" width="17.7109375" style="1" customWidth="1"/>
    <col min="13" max="21" width="11.5703125" style="55"/>
    <col min="22" max="23" width="11.5703125" style="184"/>
    <col min="24" max="16384" width="11.5703125" style="1"/>
  </cols>
  <sheetData>
    <row r="1" spans="1:30" ht="18" x14ac:dyDescent="0.25">
      <c r="C1" s="14" t="s">
        <v>1</v>
      </c>
    </row>
    <row r="3" spans="1:30" ht="15.75" x14ac:dyDescent="0.25">
      <c r="A3" s="6" t="str">
        <f>'tuot-VKO'!A3</f>
        <v>Munittaja</v>
      </c>
      <c r="B3" s="1"/>
      <c r="D3" s="284">
        <f>'tuot-VKO'!C3</f>
        <v>0</v>
      </c>
      <c r="E3" s="285"/>
      <c r="F3" s="285"/>
      <c r="H3" s="7" t="str">
        <f>'tuot-VKO'!G3</f>
        <v>Kuoriutumispäivä</v>
      </c>
      <c r="L3" s="53">
        <f>'tuot-VKO'!J3</f>
        <v>42370</v>
      </c>
      <c r="N3" s="189">
        <v>0</v>
      </c>
      <c r="Q3" s="190"/>
    </row>
    <row r="4" spans="1:30" ht="15.75" x14ac:dyDescent="0.25">
      <c r="A4" s="6" t="str">
        <f>'tuot-VKO'!A4</f>
        <v>Tila/munittamo</v>
      </c>
      <c r="B4" s="1"/>
      <c r="D4" s="284">
        <f>'tuot-VKO'!C4</f>
        <v>0</v>
      </c>
      <c r="E4" s="285"/>
      <c r="F4" s="285"/>
      <c r="H4" s="7" t="str">
        <f>'tuot-VKO'!G4</f>
        <v>Munittamoon tulopäivä</v>
      </c>
      <c r="L4" s="53">
        <f>'tuot-VKO'!J4</f>
        <v>42489</v>
      </c>
      <c r="N4" s="189">
        <v>0</v>
      </c>
      <c r="Q4" s="191"/>
    </row>
    <row r="5" spans="1:30" ht="15.75" x14ac:dyDescent="0.25">
      <c r="A5" s="6" t="str">
        <f>'tuot-VKO'!A5</f>
        <v>Parvitunnus</v>
      </c>
      <c r="B5" s="1"/>
      <c r="D5" s="306">
        <f>'tuot-VKO'!C5</f>
        <v>0</v>
      </c>
      <c r="E5" s="307"/>
      <c r="F5" s="307"/>
      <c r="H5" s="7" t="str">
        <f>'tuot-VKO'!G5</f>
        <v>Toimitettu nuorikkomäärä</v>
      </c>
      <c r="L5" s="166">
        <f>'tuot-VKO'!J5</f>
        <v>9990</v>
      </c>
      <c r="N5" s="192"/>
      <c r="Q5" s="193"/>
    </row>
    <row r="6" spans="1:30" ht="15.75" x14ac:dyDescent="0.25">
      <c r="A6" s="7"/>
      <c r="B6" s="35"/>
      <c r="C6" s="165"/>
      <c r="D6" s="124"/>
      <c r="E6" s="124"/>
      <c r="F6" s="7"/>
      <c r="I6" s="4"/>
      <c r="J6" s="4"/>
    </row>
    <row r="7" spans="1:30" ht="16.5" thickBot="1" x14ac:dyDescent="0.3">
      <c r="A7" s="6"/>
      <c r="B7" s="6"/>
      <c r="C7" s="6"/>
      <c r="D7" s="6"/>
      <c r="E7" s="7"/>
      <c r="I7" s="4"/>
    </row>
    <row r="8" spans="1:30" ht="15.75" thickTop="1" x14ac:dyDescent="0.25">
      <c r="A8" s="139"/>
      <c r="B8" s="140"/>
      <c r="C8" s="292" t="s">
        <v>39</v>
      </c>
      <c r="D8" s="293"/>
      <c r="E8" s="293"/>
      <c r="F8" s="293"/>
      <c r="G8" s="294"/>
      <c r="H8" s="290" t="s">
        <v>40</v>
      </c>
      <c r="I8" s="291"/>
      <c r="J8" s="290" t="s">
        <v>41</v>
      </c>
      <c r="K8" s="301"/>
      <c r="L8" s="291"/>
      <c r="X8" s="184"/>
      <c r="Y8" s="184"/>
    </row>
    <row r="9" spans="1:30" s="9" customFormat="1" ht="51" customHeight="1" x14ac:dyDescent="0.2">
      <c r="A9" s="76" t="s">
        <v>22</v>
      </c>
      <c r="B9" s="74" t="s">
        <v>42</v>
      </c>
      <c r="C9" s="76" t="s">
        <v>43</v>
      </c>
      <c r="D9" s="141" t="s">
        <v>44</v>
      </c>
      <c r="E9" s="141" t="s">
        <v>45</v>
      </c>
      <c r="F9" s="141" t="s">
        <v>129</v>
      </c>
      <c r="G9" s="141" t="s">
        <v>15</v>
      </c>
      <c r="H9" s="76" t="s">
        <v>46</v>
      </c>
      <c r="I9" s="142" t="s">
        <v>26</v>
      </c>
      <c r="J9" s="76" t="s">
        <v>47</v>
      </c>
      <c r="K9" s="143" t="s">
        <v>72</v>
      </c>
      <c r="L9" s="144" t="s">
        <v>10</v>
      </c>
      <c r="M9" s="54" t="s">
        <v>48</v>
      </c>
      <c r="N9" s="56" t="s">
        <v>49</v>
      </c>
      <c r="O9" s="56" t="s">
        <v>50</v>
      </c>
      <c r="P9" s="56" t="s">
        <v>51</v>
      </c>
      <c r="Q9" s="56" t="s">
        <v>52</v>
      </c>
      <c r="R9" s="56" t="s">
        <v>37</v>
      </c>
      <c r="S9" s="56" t="s">
        <v>38</v>
      </c>
      <c r="T9" s="56"/>
      <c r="U9" s="228"/>
    </row>
    <row r="10" spans="1:30" s="11" customFormat="1" ht="12.75" x14ac:dyDescent="0.2">
      <c r="A10" s="145">
        <v>15</v>
      </c>
      <c r="B10" s="146">
        <f>'tuot-INFO'!B10</f>
        <v>9990</v>
      </c>
      <c r="C10" s="147">
        <f>IF('tuot-VKO'!H11&gt;0,'tuot-VKO'!H11,IF('tuot-VKO'!I11&gt;0,'tuot-VKO'!I11*7*B10/1000, ))</f>
        <v>0</v>
      </c>
      <c r="D10" s="146">
        <f>IF('tuot-VKO'!I11&gt;0,'tuot-VKO'!I11,IF('tuot-VKO'!H11&gt;0,'tuot-VKO'!H11*1000/7/B10, ))</f>
        <v>0</v>
      </c>
      <c r="E10" s="146">
        <f>IF(C10&gt;0,SUM(C$10:C10), )</f>
        <v>0</v>
      </c>
      <c r="F10" s="146">
        <f>IF('tuot-VKO'!K11&gt;0,'tuot-VKO'!K11,IF('tuot-VKO'!J11&gt;0,'tuot-VKO'!J11*1000/7/B10, ))</f>
        <v>0</v>
      </c>
      <c r="G10" s="148">
        <f>IF(D10&gt;0,IF(F10&gt;0,F10/D10, ), )</f>
        <v>0</v>
      </c>
      <c r="H10" s="149">
        <f>IF($H$5&gt;0,IF('tuot-VKO'!D11&gt;0,IF('tuot-VKO'!F11&gt;0,C10/'tuot-VKO'!D11/'tuot-VKO'!F11*1000, ), ), )</f>
        <v>0</v>
      </c>
      <c r="I10" s="150">
        <f>IF($L$5&gt;0,IF('tuot-VKO'!D11&gt;0,IF('tuot-VKO'!F11&gt;0,E10/SUM('tuot-VKO'!D$11:D11)/'tuot-INFO'!L10*1000, ), ), )</f>
        <v>0</v>
      </c>
      <c r="J10" s="151">
        <f>'tuot-VKO'!G11/10</f>
        <v>0</v>
      </c>
      <c r="K10" s="96" t="str">
        <f>TEXT(M10,0) &amp; " - " &amp; TEXT(N10,0)</f>
        <v>109 - 116</v>
      </c>
      <c r="L10" s="150">
        <f>'tuot-VKO'!L11</f>
        <v>0</v>
      </c>
      <c r="M10" s="57">
        <f>R10/10</f>
        <v>108.8</v>
      </c>
      <c r="N10" s="58">
        <f>S10/10</f>
        <v>115.6</v>
      </c>
      <c r="O10" s="59">
        <f t="shared" ref="O10:O73" si="0">N10-M10</f>
        <v>6.7999999999999972</v>
      </c>
      <c r="P10" s="60">
        <f>H10</f>
        <v>0</v>
      </c>
      <c r="Q10" s="60">
        <f>I10</f>
        <v>0</v>
      </c>
      <c r="R10" s="61">
        <v>1088</v>
      </c>
      <c r="S10" s="61">
        <v>1156</v>
      </c>
      <c r="T10" s="229"/>
      <c r="U10" s="230"/>
    </row>
    <row r="11" spans="1:30" s="11" customFormat="1" ht="12.75" x14ac:dyDescent="0.2">
      <c r="A11" s="145">
        <v>16</v>
      </c>
      <c r="B11" s="146">
        <f>'tuot-INFO'!B11</f>
        <v>9990</v>
      </c>
      <c r="C11" s="147">
        <f>IF('tuot-VKO'!H12&gt;0,'tuot-VKO'!H12,IF('tuot-VKO'!I12&gt;0,'tuot-VKO'!I12*7*B11/1000, ))</f>
        <v>0</v>
      </c>
      <c r="D11" s="146">
        <f>IF('tuot-VKO'!I12&gt;0,'tuot-VKO'!I12,IF('tuot-VKO'!H12&gt;0,'tuot-VKO'!H12*1000/7/B11, ))</f>
        <v>0</v>
      </c>
      <c r="E11" s="146">
        <f>IF(C11&gt;0,SUM(C$10:C11), )</f>
        <v>0</v>
      </c>
      <c r="F11" s="146">
        <f>IF('tuot-VKO'!K12&gt;0,'tuot-VKO'!K12,IF('tuot-VKO'!J12&gt;0,'tuot-VKO'!J12*1000/7/B11, ))</f>
        <v>0</v>
      </c>
      <c r="G11" s="148">
        <f t="shared" ref="G11:G74" si="1">IF(D11&gt;0,IF(F11&gt;0,F11/D11, ), )</f>
        <v>0</v>
      </c>
      <c r="H11" s="149">
        <f>IF($H$5&gt;0,IF('tuot-VKO'!D12&gt;0,IF('tuot-VKO'!F12&gt;0,C11/'tuot-VKO'!D12/'tuot-VKO'!F12*1000, ), ), )</f>
        <v>0</v>
      </c>
      <c r="I11" s="150">
        <f>IF($L$5&gt;0,IF('tuot-VKO'!D12&gt;0,IF('tuot-VKO'!F12&gt;0,E11/SUM('tuot-VKO'!D$11:D12)/'tuot-INFO'!L11*1000, ), ), )</f>
        <v>0</v>
      </c>
      <c r="J11" s="151">
        <f>'tuot-VKO'!G12/10</f>
        <v>0</v>
      </c>
      <c r="K11" s="96" t="str">
        <f t="shared" ref="K11:K74" si="2">TEXT(M11,0) &amp; " - " &amp; TEXT(N11,0)</f>
        <v>113 - 120</v>
      </c>
      <c r="L11" s="150">
        <f>'tuot-VKO'!L12</f>
        <v>0</v>
      </c>
      <c r="M11" s="57">
        <f t="shared" ref="M11:M74" si="3">R11/10</f>
        <v>113.2</v>
      </c>
      <c r="N11" s="58">
        <f t="shared" ref="N11:N74" si="4">S11/10</f>
        <v>120.2</v>
      </c>
      <c r="O11" s="59">
        <f t="shared" si="0"/>
        <v>7</v>
      </c>
      <c r="P11" s="60">
        <f t="shared" ref="P11:Q26" si="5">IF(H11&gt;0,H11,P10)</f>
        <v>0</v>
      </c>
      <c r="Q11" s="60">
        <f t="shared" si="5"/>
        <v>0</v>
      </c>
      <c r="R11" s="61">
        <v>1132</v>
      </c>
      <c r="S11" s="61">
        <v>1202</v>
      </c>
      <c r="T11" s="229"/>
      <c r="U11" s="230"/>
    </row>
    <row r="12" spans="1:30" s="11" customFormat="1" ht="12.75" x14ac:dyDescent="0.2">
      <c r="A12" s="145">
        <v>17</v>
      </c>
      <c r="B12" s="146">
        <f>'tuot-INFO'!B12</f>
        <v>9990</v>
      </c>
      <c r="C12" s="147">
        <f>IF('tuot-VKO'!H13&gt;0,'tuot-VKO'!H13,IF('tuot-VKO'!I13&gt;0,'tuot-VKO'!I13*7*B12/1000, ))</f>
        <v>0</v>
      </c>
      <c r="D12" s="146">
        <f>IF('tuot-VKO'!I13&gt;0,'tuot-VKO'!I13,IF('tuot-VKO'!H13&gt;0,'tuot-VKO'!H13*1000/7/B12, ))</f>
        <v>0</v>
      </c>
      <c r="E12" s="146">
        <f>IF(C12&gt;0,SUM(C$10:C12), )</f>
        <v>0</v>
      </c>
      <c r="F12" s="146">
        <f>IF('tuot-VKO'!K13&gt;0,'tuot-VKO'!K13,IF('tuot-VKO'!J13&gt;0,'tuot-VKO'!J13*1000/7/B12, ))</f>
        <v>0</v>
      </c>
      <c r="G12" s="148">
        <f t="shared" si="1"/>
        <v>0</v>
      </c>
      <c r="H12" s="149">
        <f>IF($H$5&gt;0,IF('tuot-VKO'!D13&gt;0,IF('tuot-VKO'!F13&gt;0,C12/'tuot-VKO'!D13/'tuot-VKO'!F13*1000, ), ), )</f>
        <v>0</v>
      </c>
      <c r="I12" s="150">
        <f>IF($L$5&gt;0,IF('tuot-VKO'!D13&gt;0,IF('tuot-VKO'!F13&gt;0,E12/SUM('tuot-VKO'!D$11:D13)/'tuot-INFO'!L12*1000, ), ), )</f>
        <v>0</v>
      </c>
      <c r="J12" s="151">
        <f>'tuot-VKO'!G13/10</f>
        <v>0</v>
      </c>
      <c r="K12" s="96" t="str">
        <f t="shared" si="2"/>
        <v>118 - 125</v>
      </c>
      <c r="L12" s="150">
        <f>'tuot-VKO'!L13</f>
        <v>0</v>
      </c>
      <c r="M12" s="57">
        <f t="shared" si="3"/>
        <v>117.8</v>
      </c>
      <c r="N12" s="58">
        <f t="shared" si="4"/>
        <v>125</v>
      </c>
      <c r="O12" s="59">
        <f t="shared" si="0"/>
        <v>7.2000000000000028</v>
      </c>
      <c r="P12" s="60">
        <f>IF(H12&gt;0,H12,P11)</f>
        <v>0</v>
      </c>
      <c r="Q12" s="60">
        <f t="shared" si="5"/>
        <v>0</v>
      </c>
      <c r="R12" s="61">
        <v>1178</v>
      </c>
      <c r="S12" s="61">
        <v>1250</v>
      </c>
      <c r="T12" s="229"/>
      <c r="U12" s="230"/>
    </row>
    <row r="13" spans="1:30" s="11" customFormat="1" ht="12.75" x14ac:dyDescent="0.2">
      <c r="A13" s="145">
        <v>18</v>
      </c>
      <c r="B13" s="146">
        <f>'tuot-INFO'!B13</f>
        <v>9990</v>
      </c>
      <c r="C13" s="147">
        <f>IF('tuot-VKO'!H14&gt;0,'tuot-VKO'!H14,IF('tuot-VKO'!I14&gt;0,'tuot-VKO'!I14*7*B13/1000, ))</f>
        <v>0</v>
      </c>
      <c r="D13" s="146">
        <f>IF('tuot-VKO'!I14&gt;0,'tuot-VKO'!I14,IF('tuot-VKO'!H14&gt;0,'tuot-VKO'!H14*1000/7/B13, ))</f>
        <v>0</v>
      </c>
      <c r="E13" s="146">
        <f>IF(C13&gt;0,SUM(C$10:C13), )</f>
        <v>0</v>
      </c>
      <c r="F13" s="146">
        <f>IF('tuot-VKO'!K14&gt;0,'tuot-VKO'!K14,IF('tuot-VKO'!J14&gt;0,'tuot-VKO'!J14*1000/7/B13, ))</f>
        <v>0</v>
      </c>
      <c r="G13" s="148">
        <f t="shared" si="1"/>
        <v>0</v>
      </c>
      <c r="H13" s="149">
        <f>IF($H$5&gt;0,IF('tuot-VKO'!D14&gt;0,IF('tuot-VKO'!F14&gt;0,C13/'tuot-VKO'!D14/'tuot-VKO'!F14*1000, ), ), )</f>
        <v>0</v>
      </c>
      <c r="I13" s="150">
        <f>IF($L$5&gt;0,IF('tuot-VKO'!D14&gt;0,IF('tuot-VKO'!F14&gt;0,E13/SUM('tuot-VKO'!D$11:D14)/'tuot-INFO'!L13*1000, ), ), )</f>
        <v>0</v>
      </c>
      <c r="J13" s="151">
        <f>'tuot-VKO'!G14/10</f>
        <v>0</v>
      </c>
      <c r="K13" s="96" t="str">
        <f t="shared" si="2"/>
        <v>123 - 130</v>
      </c>
      <c r="L13" s="150">
        <f>'tuot-VKO'!L14</f>
        <v>0</v>
      </c>
      <c r="M13" s="57">
        <f t="shared" si="3"/>
        <v>122.6</v>
      </c>
      <c r="N13" s="58">
        <f t="shared" si="4"/>
        <v>130.19999999999999</v>
      </c>
      <c r="O13" s="59">
        <f t="shared" si="0"/>
        <v>7.5999999999999943</v>
      </c>
      <c r="P13" s="60">
        <f>IF(H13&gt;0,H13,P12)</f>
        <v>0</v>
      </c>
      <c r="Q13" s="60">
        <f>IF(I13&gt;0,I13,Q12)</f>
        <v>0</v>
      </c>
      <c r="R13" s="61">
        <v>1226</v>
      </c>
      <c r="S13" s="61">
        <v>1302</v>
      </c>
      <c r="T13" s="229"/>
      <c r="U13" s="230"/>
    </row>
    <row r="14" spans="1:30" s="11" customFormat="1" ht="12.75" x14ac:dyDescent="0.2">
      <c r="A14" s="145">
        <v>19</v>
      </c>
      <c r="B14" s="146">
        <f>'tuot-INFO'!B14</f>
        <v>9990</v>
      </c>
      <c r="C14" s="147">
        <f>IF('tuot-VKO'!H15&gt;0,'tuot-VKO'!H15,IF('tuot-VKO'!I15&gt;0,'tuot-VKO'!I15*7*B14/1000, ))</f>
        <v>0</v>
      </c>
      <c r="D14" s="146">
        <f>IF('tuot-VKO'!I15&gt;0,'tuot-VKO'!I15,IF('tuot-VKO'!H15&gt;0,'tuot-VKO'!H15*1000/7/B14, ))</f>
        <v>0</v>
      </c>
      <c r="E14" s="146">
        <f>IF(C14&gt;0,SUM(C$10:C14), )</f>
        <v>0</v>
      </c>
      <c r="F14" s="146">
        <f>IF('tuot-VKO'!K15&gt;0,'tuot-VKO'!K15,IF('tuot-VKO'!J15&gt;0,'tuot-VKO'!J15*1000/7/B14, ))</f>
        <v>0</v>
      </c>
      <c r="G14" s="148">
        <f t="shared" si="1"/>
        <v>0</v>
      </c>
      <c r="H14" s="149">
        <f>IF($H$5&gt;0,IF('tuot-VKO'!D15&gt;0,IF('tuot-VKO'!F15&gt;0,C14/'tuot-VKO'!D15/'tuot-VKO'!F15*1000, ), ), )</f>
        <v>0</v>
      </c>
      <c r="I14" s="150">
        <f>IF($L$5&gt;0,IF('tuot-VKO'!D15&gt;0,IF('tuot-VKO'!F15&gt;0,E14/SUM('tuot-VKO'!D$11:D15)/'tuot-INFO'!L14*1000, ), ), )</f>
        <v>0</v>
      </c>
      <c r="J14" s="151">
        <f>'tuot-VKO'!G15/10</f>
        <v>0</v>
      </c>
      <c r="K14" s="96" t="str">
        <f t="shared" si="2"/>
        <v>128 - 136</v>
      </c>
      <c r="L14" s="150">
        <f>'tuot-VKO'!L15</f>
        <v>0</v>
      </c>
      <c r="M14" s="57">
        <f t="shared" si="3"/>
        <v>128.19999999999999</v>
      </c>
      <c r="N14" s="58">
        <f t="shared" si="4"/>
        <v>136.19999999999999</v>
      </c>
      <c r="O14" s="59">
        <f t="shared" si="0"/>
        <v>8</v>
      </c>
      <c r="P14" s="60">
        <f t="shared" si="5"/>
        <v>0</v>
      </c>
      <c r="Q14" s="60">
        <f>IF(I14&gt;0,I14,Q13)</f>
        <v>0</v>
      </c>
      <c r="R14" s="61">
        <v>1282</v>
      </c>
      <c r="S14" s="61">
        <v>1362</v>
      </c>
      <c r="T14" s="229"/>
      <c r="U14" s="230"/>
    </row>
    <row r="15" spans="1:30" s="11" customFormat="1" ht="12.75" x14ac:dyDescent="0.2">
      <c r="A15" s="152">
        <v>20</v>
      </c>
      <c r="B15" s="153">
        <f>'tuot-INFO'!B15</f>
        <v>9990</v>
      </c>
      <c r="C15" s="154">
        <f>IF('tuot-VKO'!H16&gt;0,'tuot-VKO'!H16,IF('tuot-VKO'!I16&gt;0,'tuot-VKO'!I16*7*B15/1000, ))</f>
        <v>0</v>
      </c>
      <c r="D15" s="153">
        <f>IF('tuot-VKO'!I16&gt;0,'tuot-VKO'!I16,IF('tuot-VKO'!H16&gt;0,'tuot-VKO'!H16*1000/7/B15, ))</f>
        <v>0</v>
      </c>
      <c r="E15" s="153">
        <f>IF(C15&gt;0,SUM(C$10:C15), )</f>
        <v>0</v>
      </c>
      <c r="F15" s="153">
        <f>IF('tuot-VKO'!K16&gt;0,'tuot-VKO'!K16,IF('tuot-VKO'!J16&gt;0,'tuot-VKO'!J16*1000/7/B15, ))</f>
        <v>0</v>
      </c>
      <c r="G15" s="155">
        <f t="shared" si="1"/>
        <v>0</v>
      </c>
      <c r="H15" s="156">
        <f>IF($H$5&gt;0,IF('tuot-VKO'!D16&gt;0,IF('tuot-VKO'!F16&gt;0,C15/'tuot-VKO'!D16/'tuot-VKO'!F16*1000, ), ), )</f>
        <v>0</v>
      </c>
      <c r="I15" s="157">
        <f>IF($L$5&gt;0,IF('tuot-VKO'!D16&gt;0,IF('tuot-VKO'!F16&gt;0,E15/SUM('tuot-VKO'!D$11:D16)/'tuot-INFO'!L15*1000, ), ), )</f>
        <v>0</v>
      </c>
      <c r="J15" s="158">
        <f>'tuot-VKO'!G16/10</f>
        <v>0</v>
      </c>
      <c r="K15" s="106" t="str">
        <f t="shared" si="2"/>
        <v>134 - 143</v>
      </c>
      <c r="L15" s="157">
        <f>'tuot-VKO'!L16</f>
        <v>0</v>
      </c>
      <c r="M15" s="57">
        <f t="shared" si="3"/>
        <v>134.4</v>
      </c>
      <c r="N15" s="58">
        <f t="shared" si="4"/>
        <v>142.80000000000001</v>
      </c>
      <c r="O15" s="59">
        <f t="shared" si="0"/>
        <v>8.4000000000000057</v>
      </c>
      <c r="P15" s="60">
        <f t="shared" si="5"/>
        <v>0</v>
      </c>
      <c r="Q15" s="60">
        <f t="shared" si="5"/>
        <v>0</v>
      </c>
      <c r="R15" s="61">
        <v>1344</v>
      </c>
      <c r="S15" s="61">
        <v>1428</v>
      </c>
      <c r="T15" s="229"/>
      <c r="U15" s="230"/>
    </row>
    <row r="16" spans="1:30" x14ac:dyDescent="0.25">
      <c r="A16" s="145">
        <v>21</v>
      </c>
      <c r="B16" s="146">
        <f>'tuot-INFO'!B16</f>
        <v>9990</v>
      </c>
      <c r="C16" s="147">
        <f>IF('tuot-VKO'!H17&gt;0,'tuot-VKO'!H17,IF('tuot-VKO'!I17&gt;0,'tuot-VKO'!I17*7*B16/1000, ))</f>
        <v>0</v>
      </c>
      <c r="D16" s="146">
        <f>IF('tuot-VKO'!I17&gt;0,'tuot-VKO'!I17,IF('tuot-VKO'!H17&gt;0,'tuot-VKO'!H17*1000/7/B16, ))</f>
        <v>0</v>
      </c>
      <c r="E16" s="146">
        <f>IF(C16&gt;0,SUM(C$10:C16), )</f>
        <v>0</v>
      </c>
      <c r="F16" s="146">
        <f>IF('tuot-VKO'!K17&gt;0,'tuot-VKO'!K17,IF('tuot-VKO'!J17&gt;0,'tuot-VKO'!J17*1000/7/B16, ))</f>
        <v>0</v>
      </c>
      <c r="G16" s="148">
        <f t="shared" si="1"/>
        <v>0</v>
      </c>
      <c r="H16" s="149">
        <f>IF($H$5&gt;0,IF('tuot-VKO'!D17&gt;0,IF('tuot-VKO'!F17&gt;0,C16/'tuot-VKO'!D17/'tuot-VKO'!F17*1000, ), ), )</f>
        <v>0</v>
      </c>
      <c r="I16" s="150">
        <f>IF($L$5&gt;0,IF('tuot-VKO'!D17&gt;0,IF('tuot-VKO'!F17&gt;0,E16/SUM('tuot-VKO'!D$11:D17)/'tuot-INFO'!L16*1000, ), ), )</f>
        <v>0</v>
      </c>
      <c r="J16" s="151">
        <f>'tuot-VKO'!G17/10</f>
        <v>0</v>
      </c>
      <c r="K16" s="96" t="str">
        <f t="shared" si="2"/>
        <v>141 - 149</v>
      </c>
      <c r="L16" s="150">
        <f>'tuot-VKO'!L17</f>
        <v>0</v>
      </c>
      <c r="M16" s="57">
        <f t="shared" si="3"/>
        <v>140.69999999999999</v>
      </c>
      <c r="N16" s="58">
        <f t="shared" si="4"/>
        <v>149.4</v>
      </c>
      <c r="O16" s="59">
        <f t="shared" si="0"/>
        <v>8.7000000000000171</v>
      </c>
      <c r="P16" s="60">
        <f t="shared" si="5"/>
        <v>0</v>
      </c>
      <c r="Q16" s="60">
        <f t="shared" si="5"/>
        <v>0</v>
      </c>
      <c r="R16" s="61">
        <v>1407</v>
      </c>
      <c r="S16" s="61">
        <v>1494</v>
      </c>
      <c r="T16" s="61"/>
      <c r="U16" s="224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x14ac:dyDescent="0.25">
      <c r="A17" s="145">
        <v>22</v>
      </c>
      <c r="B17" s="146">
        <f>'tuot-INFO'!B17</f>
        <v>9990</v>
      </c>
      <c r="C17" s="147">
        <f>IF('tuot-VKO'!H18&gt;0,'tuot-VKO'!H18,IF('tuot-VKO'!I18&gt;0,'tuot-VKO'!I18*7*B17/1000, ))</f>
        <v>0</v>
      </c>
      <c r="D17" s="146">
        <f>IF('tuot-VKO'!I18&gt;0,'tuot-VKO'!I18,IF('tuot-VKO'!H18&gt;0,'tuot-VKO'!H18*1000/7/B17, ))</f>
        <v>0</v>
      </c>
      <c r="E17" s="146">
        <f>IF(C17&gt;0,SUM(C$10:C17), )</f>
        <v>0</v>
      </c>
      <c r="F17" s="146">
        <f>IF('tuot-VKO'!K18&gt;0,'tuot-VKO'!K18,IF('tuot-VKO'!J18&gt;0,'tuot-VKO'!J18*1000/7/B17, ))</f>
        <v>0</v>
      </c>
      <c r="G17" s="148">
        <f t="shared" si="1"/>
        <v>0</v>
      </c>
      <c r="H17" s="149">
        <f>IF($H$5&gt;0,IF('tuot-VKO'!D18&gt;0,IF('tuot-VKO'!F18&gt;0,C17/'tuot-VKO'!D18/'tuot-VKO'!F18*1000, ), ), )</f>
        <v>0</v>
      </c>
      <c r="I17" s="150">
        <f>IF($L$5&gt;0,IF('tuot-VKO'!D18&gt;0,IF('tuot-VKO'!F18&gt;0,E17/SUM('tuot-VKO'!D$11:D18)/'tuot-INFO'!L17*1000, ), ), )</f>
        <v>0</v>
      </c>
      <c r="J17" s="151">
        <f>'tuot-VKO'!G18/10</f>
        <v>0</v>
      </c>
      <c r="K17" s="96" t="str">
        <f t="shared" si="2"/>
        <v>146 - 155</v>
      </c>
      <c r="L17" s="150">
        <f>'tuot-VKO'!L18</f>
        <v>0</v>
      </c>
      <c r="M17" s="57">
        <f t="shared" si="3"/>
        <v>145.5</v>
      </c>
      <c r="N17" s="58">
        <f t="shared" si="4"/>
        <v>154.5</v>
      </c>
      <c r="O17" s="59">
        <f t="shared" si="0"/>
        <v>9</v>
      </c>
      <c r="P17" s="60">
        <f t="shared" si="5"/>
        <v>0</v>
      </c>
      <c r="Q17" s="60">
        <f t="shared" si="5"/>
        <v>0</v>
      </c>
      <c r="R17" s="61">
        <v>1455</v>
      </c>
      <c r="S17" s="61">
        <v>1545</v>
      </c>
      <c r="T17" s="61"/>
      <c r="U17" s="224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x14ac:dyDescent="0.25">
      <c r="A18" s="145">
        <v>23</v>
      </c>
      <c r="B18" s="146">
        <f>'tuot-INFO'!B18</f>
        <v>9990</v>
      </c>
      <c r="C18" s="147">
        <f>IF('tuot-VKO'!H19&gt;0,'tuot-VKO'!H19,IF('tuot-VKO'!I19&gt;0,'tuot-VKO'!I19*7*B18/1000, ))</f>
        <v>0</v>
      </c>
      <c r="D18" s="146">
        <f>IF('tuot-VKO'!I19&gt;0,'tuot-VKO'!I19,IF('tuot-VKO'!H19&gt;0,'tuot-VKO'!H19*1000/7/B18, ))</f>
        <v>0</v>
      </c>
      <c r="E18" s="146">
        <f>IF(C18&gt;0,SUM(C$10:C18), )</f>
        <v>0</v>
      </c>
      <c r="F18" s="146">
        <f>IF('tuot-VKO'!K19&gt;0,'tuot-VKO'!K19,IF('tuot-VKO'!J19&gt;0,'tuot-VKO'!J19*1000/7/B18, ))</f>
        <v>0</v>
      </c>
      <c r="G18" s="148">
        <f t="shared" si="1"/>
        <v>0</v>
      </c>
      <c r="H18" s="149">
        <f>IF($H$5&gt;0,IF('tuot-VKO'!D19&gt;0,IF('tuot-VKO'!F19&gt;0,C18/'tuot-VKO'!D19/'tuot-VKO'!F19*1000, ), ), )</f>
        <v>0</v>
      </c>
      <c r="I18" s="150">
        <f>IF($L$5&gt;0,IF('tuot-VKO'!D19&gt;0,IF('tuot-VKO'!F19&gt;0,E18/SUM('tuot-VKO'!D$11:D19)/'tuot-INFO'!L18*1000, ), ), )</f>
        <v>0</v>
      </c>
      <c r="J18" s="151">
        <f>'tuot-VKO'!G19/10</f>
        <v>0</v>
      </c>
      <c r="K18" s="96" t="str">
        <f t="shared" si="2"/>
        <v>149 - 159</v>
      </c>
      <c r="L18" s="150">
        <f>'tuot-VKO'!L19</f>
        <v>0</v>
      </c>
      <c r="M18" s="57">
        <f t="shared" si="3"/>
        <v>149.4</v>
      </c>
      <c r="N18" s="58">
        <f t="shared" si="4"/>
        <v>158.6</v>
      </c>
      <c r="O18" s="59">
        <f t="shared" si="0"/>
        <v>9.1999999999999886</v>
      </c>
      <c r="P18" s="60">
        <f t="shared" si="5"/>
        <v>0</v>
      </c>
      <c r="Q18" s="60">
        <f t="shared" si="5"/>
        <v>0</v>
      </c>
      <c r="R18" s="61">
        <v>1494</v>
      </c>
      <c r="S18" s="61">
        <v>1586</v>
      </c>
      <c r="T18" s="61"/>
      <c r="U18" s="224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x14ac:dyDescent="0.25">
      <c r="A19" s="145">
        <v>24</v>
      </c>
      <c r="B19" s="146">
        <f>'tuot-INFO'!B19</f>
        <v>9990</v>
      </c>
      <c r="C19" s="147">
        <f>IF('tuot-VKO'!H20&gt;0,'tuot-VKO'!H20,IF('tuot-VKO'!I20&gt;0,'tuot-VKO'!I20*7*B19/1000, ))</f>
        <v>0</v>
      </c>
      <c r="D19" s="146">
        <f>IF('tuot-VKO'!I20&gt;0,'tuot-VKO'!I20,IF('tuot-VKO'!H20&gt;0,'tuot-VKO'!H20*1000/7/B19, ))</f>
        <v>0</v>
      </c>
      <c r="E19" s="146">
        <f>IF(C19&gt;0,SUM(C$10:C19), )</f>
        <v>0</v>
      </c>
      <c r="F19" s="146">
        <f>IF('tuot-VKO'!K20&gt;0,'tuot-VKO'!K20,IF('tuot-VKO'!J20&gt;0,'tuot-VKO'!J20*1000/7/B19, ))</f>
        <v>0</v>
      </c>
      <c r="G19" s="148">
        <f t="shared" si="1"/>
        <v>0</v>
      </c>
      <c r="H19" s="149">
        <f>IF($H$5&gt;0,IF('tuot-VKO'!D20&gt;0,IF('tuot-VKO'!F20&gt;0,C19/'tuot-VKO'!D20/'tuot-VKO'!F20*1000, ), ), )</f>
        <v>0</v>
      </c>
      <c r="I19" s="150">
        <f>IF($L$5&gt;0,IF('tuot-VKO'!D20&gt;0,IF('tuot-VKO'!F20&gt;0,E19/SUM('tuot-VKO'!D$11:D20)/'tuot-INFO'!L19*1000, ), ), )</f>
        <v>0</v>
      </c>
      <c r="J19" s="151">
        <f>'tuot-VKO'!G20/10</f>
        <v>0</v>
      </c>
      <c r="K19" s="96" t="str">
        <f t="shared" si="2"/>
        <v>153 - 163</v>
      </c>
      <c r="L19" s="150">
        <f>'tuot-VKO'!L20</f>
        <v>0</v>
      </c>
      <c r="M19" s="57">
        <f t="shared" si="3"/>
        <v>153.30000000000001</v>
      </c>
      <c r="N19" s="58">
        <f t="shared" si="4"/>
        <v>162.69999999999999</v>
      </c>
      <c r="O19" s="59">
        <f t="shared" si="0"/>
        <v>9.3999999999999773</v>
      </c>
      <c r="P19" s="60">
        <f t="shared" si="5"/>
        <v>0</v>
      </c>
      <c r="Q19" s="60">
        <f t="shared" si="5"/>
        <v>0</v>
      </c>
      <c r="R19" s="61">
        <v>1533</v>
      </c>
      <c r="S19" s="61">
        <v>1627</v>
      </c>
      <c r="T19" s="61"/>
      <c r="U19" s="224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x14ac:dyDescent="0.25">
      <c r="A20" s="152">
        <v>25</v>
      </c>
      <c r="B20" s="153">
        <f>'tuot-INFO'!B20</f>
        <v>9990</v>
      </c>
      <c r="C20" s="154">
        <f>IF('tuot-VKO'!H21&gt;0,'tuot-VKO'!H21,IF('tuot-VKO'!I21&gt;0,'tuot-VKO'!I21*7*B20/1000, ))</f>
        <v>0</v>
      </c>
      <c r="D20" s="153">
        <f>IF('tuot-VKO'!I21&gt;0,'tuot-VKO'!I21,IF('tuot-VKO'!H21&gt;0,'tuot-VKO'!H21*1000/7/B20, ))</f>
        <v>0</v>
      </c>
      <c r="E20" s="153">
        <f>IF(C20&gt;0,SUM(C$10:C20), )</f>
        <v>0</v>
      </c>
      <c r="F20" s="153">
        <f>IF('tuot-VKO'!K21&gt;0,'tuot-VKO'!K21,IF('tuot-VKO'!J21&gt;0,'tuot-VKO'!J21*1000/7/B20, ))</f>
        <v>0</v>
      </c>
      <c r="G20" s="155">
        <f t="shared" si="1"/>
        <v>0</v>
      </c>
      <c r="H20" s="156">
        <f>IF($H$5&gt;0,IF('tuot-VKO'!D21&gt;0,IF('tuot-VKO'!F21&gt;0,C20/'tuot-VKO'!D21/'tuot-VKO'!F21*1000, ), ), )</f>
        <v>0</v>
      </c>
      <c r="I20" s="157">
        <f>IF($L$5&gt;0,IF('tuot-VKO'!D21&gt;0,IF('tuot-VKO'!F21&gt;0,E20/SUM('tuot-VKO'!D$11:D21)/'tuot-INFO'!L20*1000, ), ), )</f>
        <v>0</v>
      </c>
      <c r="J20" s="158">
        <f>'tuot-VKO'!G21/10</f>
        <v>0</v>
      </c>
      <c r="K20" s="106" t="str">
        <f t="shared" si="2"/>
        <v>156 - 166</v>
      </c>
      <c r="L20" s="157">
        <f>'tuot-VKO'!L21</f>
        <v>0</v>
      </c>
      <c r="M20" s="57">
        <f t="shared" si="3"/>
        <v>156.19999999999999</v>
      </c>
      <c r="N20" s="58">
        <f t="shared" si="4"/>
        <v>165.8</v>
      </c>
      <c r="O20" s="59">
        <f t="shared" si="0"/>
        <v>9.6000000000000227</v>
      </c>
      <c r="P20" s="60">
        <f t="shared" si="5"/>
        <v>0</v>
      </c>
      <c r="Q20" s="60">
        <f t="shared" si="5"/>
        <v>0</v>
      </c>
      <c r="R20" s="61">
        <v>1562</v>
      </c>
      <c r="S20" s="61">
        <v>1658</v>
      </c>
      <c r="T20" s="61"/>
      <c r="U20" s="224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x14ac:dyDescent="0.25">
      <c r="A21" s="145">
        <v>26</v>
      </c>
      <c r="B21" s="146">
        <f>'tuot-INFO'!B21</f>
        <v>9990</v>
      </c>
      <c r="C21" s="147">
        <f>IF('tuot-VKO'!H22&gt;0,'tuot-VKO'!H22,IF('tuot-VKO'!I22&gt;0,'tuot-VKO'!I22*7*B21/1000, ))</f>
        <v>0</v>
      </c>
      <c r="D21" s="146">
        <f>IF('tuot-VKO'!I22&gt;0,'tuot-VKO'!I22,IF('tuot-VKO'!H22&gt;0,'tuot-VKO'!H22*1000/7/B21, ))</f>
        <v>0</v>
      </c>
      <c r="E21" s="146">
        <f>IF(C21&gt;0,SUM(C$10:C21), )</f>
        <v>0</v>
      </c>
      <c r="F21" s="146">
        <f>IF('tuot-VKO'!K22&gt;0,'tuot-VKO'!K22,IF('tuot-VKO'!J22&gt;0,'tuot-VKO'!J22*1000/7/B21, ))</f>
        <v>0</v>
      </c>
      <c r="G21" s="148">
        <f t="shared" si="1"/>
        <v>0</v>
      </c>
      <c r="H21" s="149">
        <f>IF($H$5&gt;0,IF('tuot-VKO'!D22&gt;0,IF('tuot-VKO'!F22&gt;0,C21/'tuot-VKO'!D22/'tuot-VKO'!F22*1000, ), ), )</f>
        <v>0</v>
      </c>
      <c r="I21" s="150">
        <f>IF($L$5&gt;0,IF('tuot-VKO'!D22&gt;0,IF('tuot-VKO'!F22&gt;0,E21/SUM('tuot-VKO'!D$11:D22)/'tuot-INFO'!L21*1000, ), ), )</f>
        <v>0</v>
      </c>
      <c r="J21" s="151">
        <f>'tuot-VKO'!G22/10</f>
        <v>0</v>
      </c>
      <c r="K21" s="96" t="str">
        <f t="shared" si="2"/>
        <v>158 - 168</v>
      </c>
      <c r="L21" s="150">
        <f>'tuot-VKO'!L22</f>
        <v>0</v>
      </c>
      <c r="M21" s="57">
        <f t="shared" si="3"/>
        <v>158.4</v>
      </c>
      <c r="N21" s="58">
        <f t="shared" si="4"/>
        <v>167.9</v>
      </c>
      <c r="O21" s="59">
        <f t="shared" si="0"/>
        <v>9.5</v>
      </c>
      <c r="P21" s="60">
        <f t="shared" si="5"/>
        <v>0</v>
      </c>
      <c r="Q21" s="60">
        <f t="shared" si="5"/>
        <v>0</v>
      </c>
      <c r="R21" s="61">
        <v>1584</v>
      </c>
      <c r="S21" s="61">
        <v>1679</v>
      </c>
      <c r="T21" s="61"/>
      <c r="U21" s="224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145">
        <v>27</v>
      </c>
      <c r="B22" s="146">
        <f>'tuot-INFO'!B22</f>
        <v>9990</v>
      </c>
      <c r="C22" s="147">
        <f>IF('tuot-VKO'!H23&gt;0,'tuot-VKO'!H23,IF('tuot-VKO'!I23&gt;0,'tuot-VKO'!I23*7*B22/1000, ))</f>
        <v>0</v>
      </c>
      <c r="D22" s="146">
        <f>IF('tuot-VKO'!I23&gt;0,'tuot-VKO'!I23,IF('tuot-VKO'!H23&gt;0,'tuot-VKO'!H23*1000/7/B22, ))</f>
        <v>0</v>
      </c>
      <c r="E22" s="146">
        <f>IF(C22&gt;0,SUM(C$10:C22), )</f>
        <v>0</v>
      </c>
      <c r="F22" s="146">
        <f>IF('tuot-VKO'!K23&gt;0,'tuot-VKO'!K23,IF('tuot-VKO'!J23&gt;0,'tuot-VKO'!J23*1000/7/B22, ))</f>
        <v>0</v>
      </c>
      <c r="G22" s="148">
        <f t="shared" si="1"/>
        <v>0</v>
      </c>
      <c r="H22" s="149">
        <f>IF($H$5&gt;0,IF('tuot-VKO'!D23&gt;0,IF('tuot-VKO'!F23&gt;0,C22/'tuot-VKO'!D23/'tuot-VKO'!F23*1000, ), ), )</f>
        <v>0</v>
      </c>
      <c r="I22" s="150">
        <f>IF($L$5&gt;0,IF('tuot-VKO'!D23&gt;0,IF('tuot-VKO'!F23&gt;0,E22/SUM('tuot-VKO'!D$11:D23)/'tuot-INFO'!L22*1000, ), ), )</f>
        <v>0</v>
      </c>
      <c r="J22" s="151">
        <f>'tuot-VKO'!G23/10</f>
        <v>0</v>
      </c>
      <c r="K22" s="96" t="str">
        <f t="shared" si="2"/>
        <v>160 - 170</v>
      </c>
      <c r="L22" s="150">
        <f>'tuot-VKO'!L23</f>
        <v>0</v>
      </c>
      <c r="M22" s="57">
        <f t="shared" si="3"/>
        <v>160.1</v>
      </c>
      <c r="N22" s="58">
        <f t="shared" si="4"/>
        <v>170</v>
      </c>
      <c r="O22" s="59">
        <f t="shared" si="0"/>
        <v>9.9000000000000057</v>
      </c>
      <c r="P22" s="60">
        <f t="shared" si="5"/>
        <v>0</v>
      </c>
      <c r="Q22" s="60">
        <f t="shared" si="5"/>
        <v>0</v>
      </c>
      <c r="R22" s="61">
        <v>1601</v>
      </c>
      <c r="S22" s="61">
        <v>1700</v>
      </c>
      <c r="T22" s="61"/>
      <c r="U22" s="224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145">
        <v>28</v>
      </c>
      <c r="B23" s="146">
        <f>'tuot-INFO'!B23</f>
        <v>9990</v>
      </c>
      <c r="C23" s="147">
        <f>IF('tuot-VKO'!H24&gt;0,'tuot-VKO'!H24,IF('tuot-VKO'!I24&gt;0,'tuot-VKO'!I24*7*B23/1000, ))</f>
        <v>0</v>
      </c>
      <c r="D23" s="146">
        <f>IF('tuot-VKO'!I24&gt;0,'tuot-VKO'!I24,IF('tuot-VKO'!H24&gt;0,'tuot-VKO'!H24*1000/7/B23, ))</f>
        <v>0</v>
      </c>
      <c r="E23" s="146">
        <f>IF(C23&gt;0,SUM(C$10:C23), )</f>
        <v>0</v>
      </c>
      <c r="F23" s="146">
        <f>IF('tuot-VKO'!K24&gt;0,'tuot-VKO'!K24,IF('tuot-VKO'!J24&gt;0,'tuot-VKO'!J24*1000/7/B23, ))</f>
        <v>0</v>
      </c>
      <c r="G23" s="148">
        <f t="shared" si="1"/>
        <v>0</v>
      </c>
      <c r="H23" s="149">
        <f>IF($H$5&gt;0,IF('tuot-VKO'!D24&gt;0,IF('tuot-VKO'!F24&gt;0,C23/'tuot-VKO'!D24/'tuot-VKO'!F24*1000, ), ), )</f>
        <v>0</v>
      </c>
      <c r="I23" s="150">
        <f>IF($L$5&gt;0,IF('tuot-VKO'!D24&gt;0,IF('tuot-VKO'!F24&gt;0,E23/SUM('tuot-VKO'!D$11:D24)/'tuot-INFO'!L23*1000, ), ), )</f>
        <v>0</v>
      </c>
      <c r="J23" s="151">
        <f>'tuot-VKO'!G24/10</f>
        <v>0</v>
      </c>
      <c r="K23" s="96" t="str">
        <f t="shared" si="2"/>
        <v>162 - 172</v>
      </c>
      <c r="L23" s="150">
        <f>'tuot-VKO'!L24</f>
        <v>0</v>
      </c>
      <c r="M23" s="57">
        <f t="shared" si="3"/>
        <v>162</v>
      </c>
      <c r="N23" s="58">
        <f t="shared" si="4"/>
        <v>172</v>
      </c>
      <c r="O23" s="59">
        <f t="shared" si="0"/>
        <v>10</v>
      </c>
      <c r="P23" s="60">
        <f t="shared" si="5"/>
        <v>0</v>
      </c>
      <c r="Q23" s="60">
        <f t="shared" si="5"/>
        <v>0</v>
      </c>
      <c r="R23" s="61">
        <v>1620</v>
      </c>
      <c r="S23" s="61">
        <v>1720</v>
      </c>
      <c r="T23" s="61"/>
      <c r="U23" s="224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145">
        <v>29</v>
      </c>
      <c r="B24" s="146">
        <f>'tuot-INFO'!B24</f>
        <v>9990</v>
      </c>
      <c r="C24" s="147">
        <f>IF('tuot-VKO'!H25&gt;0,'tuot-VKO'!H25,IF('tuot-VKO'!I25&gt;0,'tuot-VKO'!I25*7*B24/1000, ))</f>
        <v>0</v>
      </c>
      <c r="D24" s="146">
        <f>IF('tuot-VKO'!I25&gt;0,'tuot-VKO'!I25,IF('tuot-VKO'!H25&gt;0,'tuot-VKO'!H25*1000/7/B24, ))</f>
        <v>0</v>
      </c>
      <c r="E24" s="146">
        <f>IF(C24&gt;0,SUM(C$10:C24), )</f>
        <v>0</v>
      </c>
      <c r="F24" s="146">
        <f>IF('tuot-VKO'!K25&gt;0,'tuot-VKO'!K25,IF('tuot-VKO'!J25&gt;0,'tuot-VKO'!J25*1000/7/B24, ))</f>
        <v>0</v>
      </c>
      <c r="G24" s="148">
        <f t="shared" si="1"/>
        <v>0</v>
      </c>
      <c r="H24" s="149">
        <f>IF($H$5&gt;0,IF('tuot-VKO'!D25&gt;0,IF('tuot-VKO'!F25&gt;0,C24/'tuot-VKO'!D25/'tuot-VKO'!F25*1000, ), ), )</f>
        <v>0</v>
      </c>
      <c r="I24" s="150">
        <f>IF($L$5&gt;0,IF('tuot-VKO'!D25&gt;0,IF('tuot-VKO'!F25&gt;0,E24/SUM('tuot-VKO'!D$11:D25)/'tuot-INFO'!L24*1000, ), ), )</f>
        <v>0</v>
      </c>
      <c r="J24" s="151">
        <f>'tuot-VKO'!G25/10</f>
        <v>0</v>
      </c>
      <c r="K24" s="96" t="str">
        <f t="shared" si="2"/>
        <v>164 - 174</v>
      </c>
      <c r="L24" s="150">
        <f>'tuot-VKO'!L25</f>
        <v>0</v>
      </c>
      <c r="M24" s="57">
        <f t="shared" si="3"/>
        <v>163.9</v>
      </c>
      <c r="N24" s="58">
        <f t="shared" si="4"/>
        <v>174.1</v>
      </c>
      <c r="O24" s="59">
        <f t="shared" si="0"/>
        <v>10.199999999999989</v>
      </c>
      <c r="P24" s="60">
        <f t="shared" si="5"/>
        <v>0</v>
      </c>
      <c r="Q24" s="60">
        <f t="shared" si="5"/>
        <v>0</v>
      </c>
      <c r="R24" s="61">
        <v>1639</v>
      </c>
      <c r="S24" s="61">
        <v>1741</v>
      </c>
      <c r="T24" s="61"/>
      <c r="U24" s="224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x14ac:dyDescent="0.25">
      <c r="A25" s="152">
        <v>30</v>
      </c>
      <c r="B25" s="153">
        <f>'tuot-INFO'!B25</f>
        <v>9990</v>
      </c>
      <c r="C25" s="154">
        <f>IF('tuot-VKO'!H26&gt;0,'tuot-VKO'!H26,IF('tuot-VKO'!I26&gt;0,'tuot-VKO'!I26*7*B25/1000, ))</f>
        <v>0</v>
      </c>
      <c r="D25" s="153">
        <f>IF('tuot-VKO'!I26&gt;0,'tuot-VKO'!I26,IF('tuot-VKO'!H26&gt;0,'tuot-VKO'!H26*1000/7/B25, ))</f>
        <v>0</v>
      </c>
      <c r="E25" s="153">
        <f>IF(C25&gt;0,SUM(C$10:C25), )</f>
        <v>0</v>
      </c>
      <c r="F25" s="153">
        <f>IF('tuot-VKO'!K26&gt;0,'tuot-VKO'!K26,IF('tuot-VKO'!J26&gt;0,'tuot-VKO'!J26*1000/7/B25, ))</f>
        <v>0</v>
      </c>
      <c r="G25" s="155">
        <f t="shared" si="1"/>
        <v>0</v>
      </c>
      <c r="H25" s="156">
        <f>IF($H$5&gt;0,IF('tuot-VKO'!D26&gt;0,IF('tuot-VKO'!F26&gt;0,C25/'tuot-VKO'!D26/'tuot-VKO'!F26*1000, ), ), )</f>
        <v>0</v>
      </c>
      <c r="I25" s="157">
        <f>IF($L$5&gt;0,IF('tuot-VKO'!D26&gt;0,IF('tuot-VKO'!F26&gt;0,E25/SUM('tuot-VKO'!D$11:D26)/'tuot-INFO'!L25*1000, ), ), )</f>
        <v>0</v>
      </c>
      <c r="J25" s="158">
        <f>'tuot-VKO'!G26/10</f>
        <v>0</v>
      </c>
      <c r="K25" s="106" t="str">
        <f t="shared" si="2"/>
        <v>165 - 175</v>
      </c>
      <c r="L25" s="157">
        <f>'tuot-VKO'!L26</f>
        <v>0</v>
      </c>
      <c r="M25" s="57">
        <f t="shared" si="3"/>
        <v>164.9</v>
      </c>
      <c r="N25" s="58">
        <f t="shared" si="4"/>
        <v>175.1</v>
      </c>
      <c r="O25" s="59">
        <f t="shared" si="0"/>
        <v>10.199999999999989</v>
      </c>
      <c r="P25" s="60">
        <f t="shared" si="5"/>
        <v>0</v>
      </c>
      <c r="Q25" s="60">
        <f t="shared" si="5"/>
        <v>0</v>
      </c>
      <c r="R25" s="61">
        <v>1649</v>
      </c>
      <c r="S25" s="61">
        <v>1751</v>
      </c>
      <c r="T25" s="61"/>
      <c r="U25" s="224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x14ac:dyDescent="0.25">
      <c r="A26" s="145">
        <v>31</v>
      </c>
      <c r="B26" s="146">
        <f>'tuot-INFO'!B26</f>
        <v>9990</v>
      </c>
      <c r="C26" s="147">
        <f>IF('tuot-VKO'!H27&gt;0,'tuot-VKO'!H27,IF('tuot-VKO'!I27&gt;0,'tuot-VKO'!I27*7*B26/1000, ))</f>
        <v>0</v>
      </c>
      <c r="D26" s="146">
        <f>IF('tuot-VKO'!I27&gt;0,'tuot-VKO'!I27,IF('tuot-VKO'!H27&gt;0,'tuot-VKO'!H27*1000/7/B26, ))</f>
        <v>0</v>
      </c>
      <c r="E26" s="146">
        <f>IF(C26&gt;0,SUM(C$10:C26), )</f>
        <v>0</v>
      </c>
      <c r="F26" s="146">
        <f>IF('tuot-VKO'!K27&gt;0,'tuot-VKO'!K27,IF('tuot-VKO'!J27&gt;0,'tuot-VKO'!J27*1000/7/B26, ))</f>
        <v>0</v>
      </c>
      <c r="G26" s="148">
        <f t="shared" si="1"/>
        <v>0</v>
      </c>
      <c r="H26" s="149">
        <f>IF($H$5&gt;0,IF('tuot-VKO'!D27&gt;0,IF('tuot-VKO'!F27&gt;0,C26/'tuot-VKO'!D27/'tuot-VKO'!F27*1000, ), ), )</f>
        <v>0</v>
      </c>
      <c r="I26" s="150">
        <f>IF($L$5&gt;0,IF('tuot-VKO'!D27&gt;0,IF('tuot-VKO'!F27&gt;0,E26/SUM('tuot-VKO'!D$11:D27)/'tuot-INFO'!L26*1000, ), ), )</f>
        <v>0</v>
      </c>
      <c r="J26" s="151">
        <f>'tuot-VKO'!G27/10</f>
        <v>0</v>
      </c>
      <c r="K26" s="96" t="str">
        <f t="shared" si="2"/>
        <v>165 - 176</v>
      </c>
      <c r="L26" s="150">
        <f>'tuot-VKO'!L27</f>
        <v>0</v>
      </c>
      <c r="M26" s="57">
        <f t="shared" si="3"/>
        <v>165.4</v>
      </c>
      <c r="N26" s="58">
        <f t="shared" si="4"/>
        <v>175.6</v>
      </c>
      <c r="O26" s="59">
        <f t="shared" si="0"/>
        <v>10.199999999999989</v>
      </c>
      <c r="P26" s="60">
        <f t="shared" si="5"/>
        <v>0</v>
      </c>
      <c r="Q26" s="60">
        <f t="shared" si="5"/>
        <v>0</v>
      </c>
      <c r="R26" s="61">
        <v>1654</v>
      </c>
      <c r="S26" s="61">
        <v>1756</v>
      </c>
      <c r="T26" s="61"/>
      <c r="U26" s="224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x14ac:dyDescent="0.25">
      <c r="A27" s="145">
        <v>32</v>
      </c>
      <c r="B27" s="146">
        <f>'tuot-INFO'!B27</f>
        <v>9990</v>
      </c>
      <c r="C27" s="147">
        <f>IF('tuot-VKO'!H28&gt;0,'tuot-VKO'!H28,IF('tuot-VKO'!I28&gt;0,'tuot-VKO'!I28*7*B27/1000, ))</f>
        <v>0</v>
      </c>
      <c r="D27" s="146">
        <f>IF('tuot-VKO'!I28&gt;0,'tuot-VKO'!I28,IF('tuot-VKO'!H28&gt;0,'tuot-VKO'!H28*1000/7/B27, ))</f>
        <v>0</v>
      </c>
      <c r="E27" s="146">
        <f>IF(C27&gt;0,SUM(C$10:C27), )</f>
        <v>0</v>
      </c>
      <c r="F27" s="146">
        <f>IF('tuot-VKO'!K28&gt;0,'tuot-VKO'!K28,IF('tuot-VKO'!J28&gt;0,'tuot-VKO'!J28*1000/7/B27, ))</f>
        <v>0</v>
      </c>
      <c r="G27" s="148">
        <f t="shared" si="1"/>
        <v>0</v>
      </c>
      <c r="H27" s="149">
        <f>IF($H$5&gt;0,IF('tuot-VKO'!D28&gt;0,IF('tuot-VKO'!F28&gt;0,C27/'tuot-VKO'!D28/'tuot-VKO'!F28*1000, ), ), )</f>
        <v>0</v>
      </c>
      <c r="I27" s="150">
        <f>IF($L$5&gt;0,IF('tuot-VKO'!D28&gt;0,IF('tuot-VKO'!F28&gt;0,E27/SUM('tuot-VKO'!D$11:D28)/'tuot-INFO'!L27*1000, ), ), )</f>
        <v>0</v>
      </c>
      <c r="J27" s="151">
        <f>'tuot-VKO'!G28/10</f>
        <v>0</v>
      </c>
      <c r="K27" s="96" t="str">
        <f t="shared" si="2"/>
        <v>166 - 176</v>
      </c>
      <c r="L27" s="150">
        <f>'tuot-VKO'!L28</f>
        <v>0</v>
      </c>
      <c r="M27" s="57">
        <f t="shared" si="3"/>
        <v>165.9</v>
      </c>
      <c r="N27" s="58">
        <f t="shared" si="4"/>
        <v>176.1</v>
      </c>
      <c r="O27" s="59">
        <f t="shared" si="0"/>
        <v>10.199999999999989</v>
      </c>
      <c r="P27" s="60">
        <f t="shared" ref="P27:Q42" si="6">IF(H27&gt;0,H27,P26)</f>
        <v>0</v>
      </c>
      <c r="Q27" s="60">
        <f t="shared" si="6"/>
        <v>0</v>
      </c>
      <c r="R27" s="61">
        <v>1659</v>
      </c>
      <c r="S27" s="61">
        <v>1761</v>
      </c>
      <c r="T27" s="61"/>
      <c r="U27" s="224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5">
      <c r="A28" s="145">
        <v>33</v>
      </c>
      <c r="B28" s="146">
        <f>'tuot-INFO'!B28</f>
        <v>9990</v>
      </c>
      <c r="C28" s="147">
        <f>IF('tuot-VKO'!H29&gt;0,'tuot-VKO'!H29,IF('tuot-VKO'!I29&gt;0,'tuot-VKO'!I29*7*B28/1000, ))</f>
        <v>0</v>
      </c>
      <c r="D28" s="146">
        <f>IF('tuot-VKO'!I29&gt;0,'tuot-VKO'!I29,IF('tuot-VKO'!H29&gt;0,'tuot-VKO'!H29*1000/7/B28, ))</f>
        <v>0</v>
      </c>
      <c r="E28" s="146">
        <f>IF(C28&gt;0,SUM(C$10:C28), )</f>
        <v>0</v>
      </c>
      <c r="F28" s="146">
        <f>IF('tuot-VKO'!K29&gt;0,'tuot-VKO'!K29,IF('tuot-VKO'!J29&gt;0,'tuot-VKO'!J29*1000/7/B28, ))</f>
        <v>0</v>
      </c>
      <c r="G28" s="148">
        <f t="shared" si="1"/>
        <v>0</v>
      </c>
      <c r="H28" s="149">
        <f>IF($H$5&gt;0,IF('tuot-VKO'!D29&gt;0,IF('tuot-VKO'!F29&gt;0,C28/'tuot-VKO'!D29/'tuot-VKO'!F29*1000, ), ), )</f>
        <v>0</v>
      </c>
      <c r="I28" s="150">
        <f>IF($L$5&gt;0,IF('tuot-VKO'!D29&gt;0,IF('tuot-VKO'!F29&gt;0,E28/SUM('tuot-VKO'!D$11:D29)/'tuot-INFO'!L28*1000, ), ), )</f>
        <v>0</v>
      </c>
      <c r="J28" s="151">
        <f>'tuot-VKO'!G29/10</f>
        <v>0</v>
      </c>
      <c r="K28" s="96" t="str">
        <f t="shared" si="2"/>
        <v>166 - 176</v>
      </c>
      <c r="L28" s="150">
        <f>'tuot-VKO'!L29</f>
        <v>0</v>
      </c>
      <c r="M28" s="57">
        <f t="shared" si="3"/>
        <v>166.1</v>
      </c>
      <c r="N28" s="58">
        <f t="shared" si="4"/>
        <v>176.4</v>
      </c>
      <c r="O28" s="59">
        <f t="shared" si="0"/>
        <v>10.300000000000011</v>
      </c>
      <c r="P28" s="60">
        <f t="shared" si="6"/>
        <v>0</v>
      </c>
      <c r="Q28" s="60">
        <f t="shared" si="6"/>
        <v>0</v>
      </c>
      <c r="R28" s="61">
        <v>1661</v>
      </c>
      <c r="S28" s="61">
        <v>1764</v>
      </c>
      <c r="T28" s="61"/>
      <c r="U28" s="224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x14ac:dyDescent="0.25">
      <c r="A29" s="145">
        <v>34</v>
      </c>
      <c r="B29" s="146">
        <f>'tuot-INFO'!B29</f>
        <v>9990</v>
      </c>
      <c r="C29" s="147">
        <f>IF('tuot-VKO'!H30&gt;0,'tuot-VKO'!H30,IF('tuot-VKO'!I30&gt;0,'tuot-VKO'!I30*7*B29/1000, ))</f>
        <v>0</v>
      </c>
      <c r="D29" s="146">
        <f>IF('tuot-VKO'!I30&gt;0,'tuot-VKO'!I30,IF('tuot-VKO'!H30&gt;0,'tuot-VKO'!H30*1000/7/B29, ))</f>
        <v>0</v>
      </c>
      <c r="E29" s="146">
        <f>IF(C29&gt;0,SUM(C$10:C29), )</f>
        <v>0</v>
      </c>
      <c r="F29" s="146">
        <f>IF('tuot-VKO'!K30&gt;0,'tuot-VKO'!K30,IF('tuot-VKO'!J30&gt;0,'tuot-VKO'!J30*1000/7/B29, ))</f>
        <v>0</v>
      </c>
      <c r="G29" s="148">
        <f t="shared" si="1"/>
        <v>0</v>
      </c>
      <c r="H29" s="149">
        <f>IF($H$5&gt;0,IF('tuot-VKO'!D30&gt;0,IF('tuot-VKO'!F30&gt;0,C29/'tuot-VKO'!D30/'tuot-VKO'!F30*1000, ), ), )</f>
        <v>0</v>
      </c>
      <c r="I29" s="150">
        <f>IF($L$5&gt;0,IF('tuot-VKO'!D30&gt;0,IF('tuot-VKO'!F30&gt;0,E29/SUM('tuot-VKO'!D$11:D30)/'tuot-INFO'!L29*1000, ), ), )</f>
        <v>0</v>
      </c>
      <c r="J29" s="151">
        <f>'tuot-VKO'!G30/10</f>
        <v>0</v>
      </c>
      <c r="K29" s="96" t="str">
        <f t="shared" si="2"/>
        <v>166 - 177</v>
      </c>
      <c r="L29" s="150">
        <f>'tuot-VKO'!L30</f>
        <v>0</v>
      </c>
      <c r="M29" s="57">
        <f t="shared" si="3"/>
        <v>166.4</v>
      </c>
      <c r="N29" s="58">
        <f t="shared" si="4"/>
        <v>176.6</v>
      </c>
      <c r="O29" s="59">
        <f t="shared" si="0"/>
        <v>10.199999999999989</v>
      </c>
      <c r="P29" s="60">
        <f t="shared" si="6"/>
        <v>0</v>
      </c>
      <c r="Q29" s="60">
        <f t="shared" si="6"/>
        <v>0</v>
      </c>
      <c r="R29" s="61">
        <v>1664</v>
      </c>
      <c r="S29" s="61">
        <v>1766</v>
      </c>
      <c r="T29" s="61"/>
      <c r="U29" s="224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x14ac:dyDescent="0.25">
      <c r="A30" s="152">
        <v>35</v>
      </c>
      <c r="B30" s="153">
        <f>'tuot-INFO'!B30</f>
        <v>9990</v>
      </c>
      <c r="C30" s="154">
        <f>IF('tuot-VKO'!H31&gt;0,'tuot-VKO'!H31,IF('tuot-VKO'!I31&gt;0,'tuot-VKO'!I31*7*B30/1000, ))</f>
        <v>0</v>
      </c>
      <c r="D30" s="153">
        <f>IF('tuot-VKO'!I31&gt;0,'tuot-VKO'!I31,IF('tuot-VKO'!H31&gt;0,'tuot-VKO'!H31*1000/7/B30, ))</f>
        <v>0</v>
      </c>
      <c r="E30" s="153">
        <f>IF(C30&gt;0,SUM(C$10:C30), )</f>
        <v>0</v>
      </c>
      <c r="F30" s="153">
        <f>IF('tuot-VKO'!K31&gt;0,'tuot-VKO'!K31,IF('tuot-VKO'!J31&gt;0,'tuot-VKO'!J31*1000/7/B30, ))</f>
        <v>0</v>
      </c>
      <c r="G30" s="155">
        <f t="shared" si="1"/>
        <v>0</v>
      </c>
      <c r="H30" s="156">
        <f>IF($H$5&gt;0,IF('tuot-VKO'!D31&gt;0,IF('tuot-VKO'!F31&gt;0,C30/'tuot-VKO'!D31/'tuot-VKO'!F31*1000, ), ), )</f>
        <v>0</v>
      </c>
      <c r="I30" s="157">
        <f>IF($L$5&gt;0,IF('tuot-VKO'!D31&gt;0,IF('tuot-VKO'!F31&gt;0,E30/SUM('tuot-VKO'!D$11:D31)/'tuot-INFO'!L30*1000, ), ), )</f>
        <v>0</v>
      </c>
      <c r="J30" s="158">
        <f>'tuot-VKO'!G31/10</f>
        <v>0</v>
      </c>
      <c r="K30" s="106" t="str">
        <f t="shared" si="2"/>
        <v>167 - 177</v>
      </c>
      <c r="L30" s="157">
        <f>'tuot-VKO'!L31</f>
        <v>0</v>
      </c>
      <c r="M30" s="57">
        <f t="shared" si="3"/>
        <v>166.6</v>
      </c>
      <c r="N30" s="58">
        <f t="shared" si="4"/>
        <v>176.9</v>
      </c>
      <c r="O30" s="59">
        <f t="shared" si="0"/>
        <v>10.300000000000011</v>
      </c>
      <c r="P30" s="60">
        <f t="shared" si="6"/>
        <v>0</v>
      </c>
      <c r="Q30" s="60">
        <f t="shared" si="6"/>
        <v>0</v>
      </c>
      <c r="R30" s="61">
        <v>1666</v>
      </c>
      <c r="S30" s="61">
        <v>1769</v>
      </c>
      <c r="T30" s="61"/>
      <c r="U30" s="224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x14ac:dyDescent="0.25">
      <c r="A31" s="145">
        <v>36</v>
      </c>
      <c r="B31" s="146">
        <f>'tuot-INFO'!B31</f>
        <v>9990</v>
      </c>
      <c r="C31" s="147">
        <f>IF('tuot-VKO'!H32&gt;0,'tuot-VKO'!H32,IF('tuot-VKO'!I32&gt;0,'tuot-VKO'!I32*7*B31/1000, ))</f>
        <v>0</v>
      </c>
      <c r="D31" s="146">
        <f>IF('tuot-VKO'!I32&gt;0,'tuot-VKO'!I32,IF('tuot-VKO'!H32&gt;0,'tuot-VKO'!H32*1000/7/B31, ))</f>
        <v>0</v>
      </c>
      <c r="E31" s="146">
        <f>IF(C31&gt;0,SUM(C$10:C31), )</f>
        <v>0</v>
      </c>
      <c r="F31" s="146">
        <f>IF('tuot-VKO'!K32&gt;0,'tuot-VKO'!K32,IF('tuot-VKO'!J32&gt;0,'tuot-VKO'!J32*1000/7/B31, ))</f>
        <v>0</v>
      </c>
      <c r="G31" s="148">
        <f t="shared" si="1"/>
        <v>0</v>
      </c>
      <c r="H31" s="149">
        <f>IF($H$5&gt;0,IF('tuot-VKO'!D32&gt;0,IF('tuot-VKO'!F32&gt;0,C31/'tuot-VKO'!D32/'tuot-VKO'!F32*1000, ), ), )</f>
        <v>0</v>
      </c>
      <c r="I31" s="150">
        <f>IF($L$5&gt;0,IF('tuot-VKO'!D32&gt;0,IF('tuot-VKO'!F32&gt;0,E31/SUM('tuot-VKO'!D$11:D32)/'tuot-INFO'!L31*1000, ), ), )</f>
        <v>0</v>
      </c>
      <c r="J31" s="151">
        <f>'tuot-VKO'!G32/10</f>
        <v>0</v>
      </c>
      <c r="K31" s="96" t="str">
        <f t="shared" si="2"/>
        <v>167 - 177</v>
      </c>
      <c r="L31" s="150">
        <f>'tuot-VKO'!L32</f>
        <v>0</v>
      </c>
      <c r="M31" s="57">
        <f t="shared" si="3"/>
        <v>166.8</v>
      </c>
      <c r="N31" s="58">
        <f t="shared" si="4"/>
        <v>177.2</v>
      </c>
      <c r="O31" s="59">
        <f t="shared" si="0"/>
        <v>10.399999999999977</v>
      </c>
      <c r="P31" s="60">
        <f t="shared" si="6"/>
        <v>0</v>
      </c>
      <c r="Q31" s="60">
        <f t="shared" si="6"/>
        <v>0</v>
      </c>
      <c r="R31" s="61">
        <v>1668</v>
      </c>
      <c r="S31" s="61">
        <v>1772</v>
      </c>
      <c r="T31" s="61"/>
      <c r="U31" s="224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x14ac:dyDescent="0.25">
      <c r="A32" s="145">
        <v>37</v>
      </c>
      <c r="B32" s="146">
        <f>'tuot-INFO'!B32</f>
        <v>9990</v>
      </c>
      <c r="C32" s="147">
        <f>IF('tuot-VKO'!H33&gt;0,'tuot-VKO'!H33,IF('tuot-VKO'!I33&gt;0,'tuot-VKO'!I33*7*B32/1000, ))</f>
        <v>0</v>
      </c>
      <c r="D32" s="146">
        <f>IF('tuot-VKO'!I33&gt;0,'tuot-VKO'!I33,IF('tuot-VKO'!H33&gt;0,'tuot-VKO'!H33*1000/7/B32, ))</f>
        <v>0</v>
      </c>
      <c r="E32" s="146">
        <f>IF(C32&gt;0,SUM(C$10:C32), )</f>
        <v>0</v>
      </c>
      <c r="F32" s="146">
        <f>IF('tuot-VKO'!K33&gt;0,'tuot-VKO'!K33,IF('tuot-VKO'!J33&gt;0,'tuot-VKO'!J33*1000/7/B32, ))</f>
        <v>0</v>
      </c>
      <c r="G32" s="148">
        <f t="shared" si="1"/>
        <v>0</v>
      </c>
      <c r="H32" s="149">
        <f>IF($H$5&gt;0,IF('tuot-VKO'!D33&gt;0,IF('tuot-VKO'!F33&gt;0,C32/'tuot-VKO'!D33/'tuot-VKO'!F33*1000, ), ), )</f>
        <v>0</v>
      </c>
      <c r="I32" s="150">
        <f>IF($L$5&gt;0,IF('tuot-VKO'!D33&gt;0,IF('tuot-VKO'!F33&gt;0,E32/SUM('tuot-VKO'!D$11:D33)/'tuot-INFO'!L32*1000, ), ), )</f>
        <v>0</v>
      </c>
      <c r="J32" s="151">
        <f>'tuot-VKO'!G33/10</f>
        <v>0</v>
      </c>
      <c r="K32" s="96" t="str">
        <f t="shared" si="2"/>
        <v>167 - 177</v>
      </c>
      <c r="L32" s="150">
        <f>'tuot-VKO'!L33</f>
        <v>0</v>
      </c>
      <c r="M32" s="57">
        <f t="shared" si="3"/>
        <v>167.1</v>
      </c>
      <c r="N32" s="58">
        <f t="shared" si="4"/>
        <v>177.4</v>
      </c>
      <c r="O32" s="59">
        <f t="shared" si="0"/>
        <v>10.300000000000011</v>
      </c>
      <c r="P32" s="60">
        <f>IF(H32&gt;0,H32,P31)</f>
        <v>0</v>
      </c>
      <c r="Q32" s="60">
        <f t="shared" si="6"/>
        <v>0</v>
      </c>
      <c r="R32" s="61">
        <v>1671</v>
      </c>
      <c r="S32" s="61">
        <v>1774</v>
      </c>
      <c r="T32" s="61"/>
      <c r="U32" s="224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x14ac:dyDescent="0.25">
      <c r="A33" s="145">
        <v>38</v>
      </c>
      <c r="B33" s="146">
        <f>'tuot-INFO'!B33</f>
        <v>9990</v>
      </c>
      <c r="C33" s="147">
        <f>IF('tuot-VKO'!H34&gt;0,'tuot-VKO'!H34,IF('tuot-VKO'!I34&gt;0,'tuot-VKO'!I34*7*B33/1000, ))</f>
        <v>0</v>
      </c>
      <c r="D33" s="146">
        <f>IF('tuot-VKO'!I34&gt;0,'tuot-VKO'!I34,IF('tuot-VKO'!H34&gt;0,'tuot-VKO'!H34*1000/7/B33, ))</f>
        <v>0</v>
      </c>
      <c r="E33" s="146">
        <f>IF(C33&gt;0,SUM(C$10:C33), )</f>
        <v>0</v>
      </c>
      <c r="F33" s="146">
        <f>IF('tuot-VKO'!K34&gt;0,'tuot-VKO'!K34,IF('tuot-VKO'!J34&gt;0,'tuot-VKO'!J34*1000/7/B33, ))</f>
        <v>0</v>
      </c>
      <c r="G33" s="148">
        <f t="shared" si="1"/>
        <v>0</v>
      </c>
      <c r="H33" s="149">
        <f>IF($H$5&gt;0,IF('tuot-VKO'!D34&gt;0,IF('tuot-VKO'!F34&gt;0,C33/'tuot-VKO'!D34/'tuot-VKO'!F34*1000, ), ), )</f>
        <v>0</v>
      </c>
      <c r="I33" s="150">
        <f>IF($L$5&gt;0,IF('tuot-VKO'!D34&gt;0,IF('tuot-VKO'!F34&gt;0,E33/SUM('tuot-VKO'!D$11:D34)/'tuot-INFO'!L33*1000, ), ), )</f>
        <v>0</v>
      </c>
      <c r="J33" s="151">
        <f>'tuot-VKO'!G34/10</f>
        <v>0</v>
      </c>
      <c r="K33" s="96" t="str">
        <f t="shared" si="2"/>
        <v>167 - 178</v>
      </c>
      <c r="L33" s="150">
        <f>'tuot-VKO'!L34</f>
        <v>0</v>
      </c>
      <c r="M33" s="57">
        <f t="shared" si="3"/>
        <v>167.3</v>
      </c>
      <c r="N33" s="58">
        <f t="shared" si="4"/>
        <v>177.7</v>
      </c>
      <c r="O33" s="59">
        <f>N33-M33</f>
        <v>10.399999999999977</v>
      </c>
      <c r="P33" s="60">
        <f t="shared" si="6"/>
        <v>0</v>
      </c>
      <c r="Q33" s="60">
        <f t="shared" si="6"/>
        <v>0</v>
      </c>
      <c r="R33" s="61">
        <v>1673</v>
      </c>
      <c r="S33" s="61">
        <v>1777</v>
      </c>
      <c r="T33" s="61"/>
      <c r="U33" s="224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x14ac:dyDescent="0.25">
      <c r="A34" s="145">
        <v>39</v>
      </c>
      <c r="B34" s="146">
        <f>'tuot-INFO'!B34</f>
        <v>9990</v>
      </c>
      <c r="C34" s="147">
        <f>IF('tuot-VKO'!H35&gt;0,'tuot-VKO'!H35,IF('tuot-VKO'!I35&gt;0,'tuot-VKO'!I35*7*B34/1000, ))</f>
        <v>0</v>
      </c>
      <c r="D34" s="146">
        <f>IF('tuot-VKO'!I35&gt;0,'tuot-VKO'!I35,IF('tuot-VKO'!H35&gt;0,'tuot-VKO'!H35*1000/7/B34, ))</f>
        <v>0</v>
      </c>
      <c r="E34" s="146">
        <f>IF(C34&gt;0,SUM(C$10:C34), )</f>
        <v>0</v>
      </c>
      <c r="F34" s="146">
        <f>IF('tuot-VKO'!K35&gt;0,'tuot-VKO'!K35,IF('tuot-VKO'!J35&gt;0,'tuot-VKO'!J35*1000/7/B34, ))</f>
        <v>0</v>
      </c>
      <c r="G34" s="148">
        <f t="shared" si="1"/>
        <v>0</v>
      </c>
      <c r="H34" s="149">
        <f>IF($H$5&gt;0,IF('tuot-VKO'!D35&gt;0,IF('tuot-VKO'!F35&gt;0,C34/'tuot-VKO'!D35/'tuot-VKO'!F35*1000, ), ), )</f>
        <v>0</v>
      </c>
      <c r="I34" s="150">
        <f>IF($L$5&gt;0,IF('tuot-VKO'!D35&gt;0,IF('tuot-VKO'!F35&gt;0,E34/SUM('tuot-VKO'!D$11:D35)/'tuot-INFO'!L34*1000, ), ), )</f>
        <v>0</v>
      </c>
      <c r="J34" s="151">
        <f>'tuot-VKO'!G35/10</f>
        <v>0</v>
      </c>
      <c r="K34" s="96" t="str">
        <f t="shared" si="2"/>
        <v>168 - 178</v>
      </c>
      <c r="L34" s="150">
        <f>'tuot-VKO'!L35</f>
        <v>0</v>
      </c>
      <c r="M34" s="57">
        <f t="shared" si="3"/>
        <v>167.6</v>
      </c>
      <c r="N34" s="58">
        <f t="shared" si="4"/>
        <v>177.9</v>
      </c>
      <c r="O34" s="59">
        <f t="shared" si="0"/>
        <v>10.300000000000011</v>
      </c>
      <c r="P34" s="60">
        <f t="shared" si="6"/>
        <v>0</v>
      </c>
      <c r="Q34" s="60">
        <f t="shared" si="6"/>
        <v>0</v>
      </c>
      <c r="R34" s="61">
        <v>1676</v>
      </c>
      <c r="S34" s="61">
        <v>1779</v>
      </c>
      <c r="T34" s="61"/>
      <c r="U34" s="224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x14ac:dyDescent="0.25">
      <c r="A35" s="152">
        <v>40</v>
      </c>
      <c r="B35" s="153">
        <f>'tuot-INFO'!B35</f>
        <v>9990</v>
      </c>
      <c r="C35" s="154">
        <f>IF('tuot-VKO'!H36&gt;0,'tuot-VKO'!H36,IF('tuot-VKO'!I36&gt;0,'tuot-VKO'!I36*7*B35/1000, ))</f>
        <v>0</v>
      </c>
      <c r="D35" s="153">
        <f>IF('tuot-VKO'!I36&gt;0,'tuot-VKO'!I36,IF('tuot-VKO'!H36&gt;0,'tuot-VKO'!H36*1000/7/B35, ))</f>
        <v>0</v>
      </c>
      <c r="E35" s="153">
        <f>IF(C35&gt;0,SUM(C$10:C35), )</f>
        <v>0</v>
      </c>
      <c r="F35" s="153">
        <f>IF('tuot-VKO'!K36&gt;0,'tuot-VKO'!K36,IF('tuot-VKO'!J36&gt;0,'tuot-VKO'!J36*1000/7/B35, ))</f>
        <v>0</v>
      </c>
      <c r="G35" s="155">
        <f t="shared" si="1"/>
        <v>0</v>
      </c>
      <c r="H35" s="156">
        <f>IF($H$5&gt;0,IF('tuot-VKO'!D36&gt;0,IF('tuot-VKO'!F36&gt;0,C35/'tuot-VKO'!D36/'tuot-VKO'!F36*1000, ), ), )</f>
        <v>0</v>
      </c>
      <c r="I35" s="157">
        <f>IF($L$5&gt;0,IF('tuot-VKO'!D36&gt;0,IF('tuot-VKO'!F36&gt;0,E35/SUM('tuot-VKO'!D$11:D36)/'tuot-INFO'!L35*1000, ), ), )</f>
        <v>0</v>
      </c>
      <c r="J35" s="158">
        <f>'tuot-VKO'!G36/10</f>
        <v>0</v>
      </c>
      <c r="K35" s="106" t="str">
        <f t="shared" si="2"/>
        <v>168 - 178</v>
      </c>
      <c r="L35" s="157">
        <f>'tuot-VKO'!L36</f>
        <v>0</v>
      </c>
      <c r="M35" s="57">
        <f t="shared" si="3"/>
        <v>167.8</v>
      </c>
      <c r="N35" s="58">
        <f t="shared" si="4"/>
        <v>178.2</v>
      </c>
      <c r="O35" s="59">
        <f t="shared" si="0"/>
        <v>10.399999999999977</v>
      </c>
      <c r="P35" s="60">
        <f t="shared" si="6"/>
        <v>0</v>
      </c>
      <c r="Q35" s="60">
        <f t="shared" si="6"/>
        <v>0</v>
      </c>
      <c r="R35" s="61">
        <v>1678</v>
      </c>
      <c r="S35" s="61">
        <v>1782</v>
      </c>
      <c r="T35" s="61"/>
      <c r="U35" s="224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x14ac:dyDescent="0.25">
      <c r="A36" s="145">
        <v>41</v>
      </c>
      <c r="B36" s="146">
        <f>'tuot-INFO'!B36</f>
        <v>9990</v>
      </c>
      <c r="C36" s="147">
        <f>IF('tuot-VKO'!H37&gt;0,'tuot-VKO'!H37,IF('tuot-VKO'!I37&gt;0,'tuot-VKO'!I37*7*B36/1000, ))</f>
        <v>0</v>
      </c>
      <c r="D36" s="146">
        <f>IF('tuot-VKO'!I37&gt;0,'tuot-VKO'!I37,IF('tuot-VKO'!H37&gt;0,'tuot-VKO'!H37*1000/7/B36, ))</f>
        <v>0</v>
      </c>
      <c r="E36" s="146">
        <f>IF(C36&gt;0,SUM(C$10:C36), )</f>
        <v>0</v>
      </c>
      <c r="F36" s="146">
        <f>IF('tuot-VKO'!K37&gt;0,'tuot-VKO'!K37,IF('tuot-VKO'!J37&gt;0,'tuot-VKO'!J37*1000/7/B36, ))</f>
        <v>0</v>
      </c>
      <c r="G36" s="148">
        <f t="shared" si="1"/>
        <v>0</v>
      </c>
      <c r="H36" s="149">
        <f>IF($H$5&gt;0,IF('tuot-VKO'!D37&gt;0,IF('tuot-VKO'!F37&gt;0,C36/'tuot-VKO'!D37/'tuot-VKO'!F37*1000, ), ), )</f>
        <v>0</v>
      </c>
      <c r="I36" s="150">
        <f>IF($L$5&gt;0,IF('tuot-VKO'!D37&gt;0,IF('tuot-VKO'!F37&gt;0,E36/SUM('tuot-VKO'!D$11:D37)/'tuot-INFO'!L36*1000, ), ), )</f>
        <v>0</v>
      </c>
      <c r="J36" s="151">
        <f>'tuot-VKO'!G37/10</f>
        <v>0</v>
      </c>
      <c r="K36" s="96" t="str">
        <f t="shared" si="2"/>
        <v>168 - 178</v>
      </c>
      <c r="L36" s="150">
        <f>'tuot-VKO'!L37</f>
        <v>0</v>
      </c>
      <c r="M36" s="57">
        <f t="shared" si="3"/>
        <v>168.1</v>
      </c>
      <c r="N36" s="58">
        <f t="shared" si="4"/>
        <v>178.4</v>
      </c>
      <c r="O36" s="59">
        <f t="shared" si="0"/>
        <v>10.300000000000011</v>
      </c>
      <c r="P36" s="60">
        <f t="shared" si="6"/>
        <v>0</v>
      </c>
      <c r="Q36" s="60">
        <f t="shared" si="6"/>
        <v>0</v>
      </c>
      <c r="R36" s="61">
        <v>1681</v>
      </c>
      <c r="S36" s="61">
        <v>1784</v>
      </c>
      <c r="T36" s="61"/>
      <c r="U36" s="224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x14ac:dyDescent="0.25">
      <c r="A37" s="145">
        <v>42</v>
      </c>
      <c r="B37" s="146">
        <f>'tuot-INFO'!B37</f>
        <v>9990</v>
      </c>
      <c r="C37" s="147">
        <f>IF('tuot-VKO'!H38&gt;0,'tuot-VKO'!H38,IF('tuot-VKO'!I38&gt;0,'tuot-VKO'!I38*7*B37/1000, ))</f>
        <v>0</v>
      </c>
      <c r="D37" s="146">
        <f>IF('tuot-VKO'!I38&gt;0,'tuot-VKO'!I38,IF('tuot-VKO'!H38&gt;0,'tuot-VKO'!H38*1000/7/B37, ))</f>
        <v>0</v>
      </c>
      <c r="E37" s="146">
        <f>IF(C37&gt;0,SUM(C$10:C37), )</f>
        <v>0</v>
      </c>
      <c r="F37" s="146">
        <f>IF('tuot-VKO'!K38&gt;0,'tuot-VKO'!K38,IF('tuot-VKO'!J38&gt;0,'tuot-VKO'!J38*1000/7/B37, ))</f>
        <v>0</v>
      </c>
      <c r="G37" s="148">
        <f t="shared" si="1"/>
        <v>0</v>
      </c>
      <c r="H37" s="149">
        <f>IF($H$5&gt;0,IF('tuot-VKO'!D38&gt;0,IF('tuot-VKO'!F38&gt;0,C37/'tuot-VKO'!D38/'tuot-VKO'!F38*1000, ), ), )</f>
        <v>0</v>
      </c>
      <c r="I37" s="150">
        <f>IF($L$5&gt;0,IF('tuot-VKO'!D38&gt;0,IF('tuot-VKO'!F38&gt;0,E37/SUM('tuot-VKO'!D$11:D38)/'tuot-INFO'!L37*1000, ), ), )</f>
        <v>0</v>
      </c>
      <c r="J37" s="151">
        <f>'tuot-VKO'!G38/10</f>
        <v>0</v>
      </c>
      <c r="K37" s="96" t="str">
        <f t="shared" si="2"/>
        <v>168 - 179</v>
      </c>
      <c r="L37" s="150">
        <f>'tuot-VKO'!L38</f>
        <v>0</v>
      </c>
      <c r="M37" s="57">
        <f t="shared" si="3"/>
        <v>168.3</v>
      </c>
      <c r="N37" s="58">
        <f t="shared" si="4"/>
        <v>178.7</v>
      </c>
      <c r="O37" s="59">
        <f t="shared" si="0"/>
        <v>10.399999999999977</v>
      </c>
      <c r="P37" s="60">
        <f t="shared" si="6"/>
        <v>0</v>
      </c>
      <c r="Q37" s="60">
        <f t="shared" si="6"/>
        <v>0</v>
      </c>
      <c r="R37" s="61">
        <v>1683</v>
      </c>
      <c r="S37" s="61">
        <v>1787</v>
      </c>
      <c r="T37" s="61"/>
      <c r="U37" s="224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x14ac:dyDescent="0.25">
      <c r="A38" s="145">
        <v>43</v>
      </c>
      <c r="B38" s="146">
        <f>'tuot-INFO'!B38</f>
        <v>9990</v>
      </c>
      <c r="C38" s="147">
        <f>IF('tuot-VKO'!H39&gt;0,'tuot-VKO'!H39,IF('tuot-VKO'!I39&gt;0,'tuot-VKO'!I39*7*B38/1000, ))</f>
        <v>0</v>
      </c>
      <c r="D38" s="146">
        <f>IF('tuot-VKO'!I39&gt;0,'tuot-VKO'!I39,IF('tuot-VKO'!H39&gt;0,'tuot-VKO'!H39*1000/7/B38, ))</f>
        <v>0</v>
      </c>
      <c r="E38" s="146">
        <f>IF(C38&gt;0,SUM(C$10:C38), )</f>
        <v>0</v>
      </c>
      <c r="F38" s="146">
        <f>IF('tuot-VKO'!K39&gt;0,'tuot-VKO'!K39,IF('tuot-VKO'!J39&gt;0,'tuot-VKO'!J39*1000/7/B38, ))</f>
        <v>0</v>
      </c>
      <c r="G38" s="148">
        <f t="shared" si="1"/>
        <v>0</v>
      </c>
      <c r="H38" s="149">
        <f>IF($H$5&gt;0,IF('tuot-VKO'!D39&gt;0,IF('tuot-VKO'!F39&gt;0,C38/'tuot-VKO'!D39/'tuot-VKO'!F39*1000, ), ), )</f>
        <v>0</v>
      </c>
      <c r="I38" s="150">
        <f>IF($L$5&gt;0,IF('tuot-VKO'!D39&gt;0,IF('tuot-VKO'!F39&gt;0,E38/SUM('tuot-VKO'!D$11:D39)/'tuot-INFO'!L38*1000, ), ), )</f>
        <v>0</v>
      </c>
      <c r="J38" s="151">
        <f>'tuot-VKO'!G39/10</f>
        <v>0</v>
      </c>
      <c r="K38" s="96" t="str">
        <f t="shared" si="2"/>
        <v>169 - 179</v>
      </c>
      <c r="L38" s="150">
        <f>'tuot-VKO'!L39</f>
        <v>0</v>
      </c>
      <c r="M38" s="57">
        <f t="shared" si="3"/>
        <v>168.5</v>
      </c>
      <c r="N38" s="58">
        <f t="shared" si="4"/>
        <v>179</v>
      </c>
      <c r="O38" s="59">
        <f t="shared" si="0"/>
        <v>10.5</v>
      </c>
      <c r="P38" s="60">
        <f t="shared" si="6"/>
        <v>0</v>
      </c>
      <c r="Q38" s="60">
        <f t="shared" si="6"/>
        <v>0</v>
      </c>
      <c r="R38" s="61">
        <v>1685</v>
      </c>
      <c r="S38" s="61">
        <v>1790</v>
      </c>
      <c r="T38" s="61"/>
      <c r="U38" s="224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x14ac:dyDescent="0.25">
      <c r="A39" s="145">
        <v>44</v>
      </c>
      <c r="B39" s="146">
        <f>'tuot-INFO'!B39</f>
        <v>9990</v>
      </c>
      <c r="C39" s="147">
        <f>IF('tuot-VKO'!H40&gt;0,'tuot-VKO'!H40,IF('tuot-VKO'!I40&gt;0,'tuot-VKO'!I40*7*B39/1000, ))</f>
        <v>0</v>
      </c>
      <c r="D39" s="146">
        <f>IF('tuot-VKO'!I40&gt;0,'tuot-VKO'!I40,IF('tuot-VKO'!H40&gt;0,'tuot-VKO'!H40*1000/7/B39, ))</f>
        <v>0</v>
      </c>
      <c r="E39" s="146">
        <f>IF(C39&gt;0,SUM(C$10:C39), )</f>
        <v>0</v>
      </c>
      <c r="F39" s="146">
        <f>IF('tuot-VKO'!K40&gt;0,'tuot-VKO'!K40,IF('tuot-VKO'!J40&gt;0,'tuot-VKO'!J40*1000/7/B39, ))</f>
        <v>0</v>
      </c>
      <c r="G39" s="148">
        <f t="shared" si="1"/>
        <v>0</v>
      </c>
      <c r="H39" s="149">
        <f>IF($H$5&gt;0,IF('tuot-VKO'!D40&gt;0,IF('tuot-VKO'!F40&gt;0,C39/'tuot-VKO'!D40/'tuot-VKO'!F40*1000, ), ), )</f>
        <v>0</v>
      </c>
      <c r="I39" s="150">
        <f>IF($L$5&gt;0,IF('tuot-VKO'!D40&gt;0,IF('tuot-VKO'!F40&gt;0,E39/SUM('tuot-VKO'!D$11:D40)/'tuot-INFO'!L39*1000, ), ), )</f>
        <v>0</v>
      </c>
      <c r="J39" s="151">
        <f>'tuot-VKO'!G40/10</f>
        <v>0</v>
      </c>
      <c r="K39" s="96" t="str">
        <f t="shared" si="2"/>
        <v>169 - 179</v>
      </c>
      <c r="L39" s="150">
        <f>'tuot-VKO'!L40</f>
        <v>0</v>
      </c>
      <c r="M39" s="57">
        <f t="shared" si="3"/>
        <v>168.8</v>
      </c>
      <c r="N39" s="58">
        <f t="shared" si="4"/>
        <v>179.2</v>
      </c>
      <c r="O39" s="59">
        <f t="shared" si="0"/>
        <v>10.399999999999977</v>
      </c>
      <c r="P39" s="60">
        <f t="shared" si="6"/>
        <v>0</v>
      </c>
      <c r="Q39" s="60">
        <f t="shared" si="6"/>
        <v>0</v>
      </c>
      <c r="R39" s="61">
        <v>1688</v>
      </c>
      <c r="S39" s="61">
        <v>1792</v>
      </c>
      <c r="T39" s="61"/>
      <c r="U39" s="224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x14ac:dyDescent="0.25">
      <c r="A40" s="152">
        <v>45</v>
      </c>
      <c r="B40" s="153">
        <f>'tuot-INFO'!B40</f>
        <v>9990</v>
      </c>
      <c r="C40" s="154">
        <f>IF('tuot-VKO'!H41&gt;0,'tuot-VKO'!H41,IF('tuot-VKO'!I41&gt;0,'tuot-VKO'!I41*7*B40/1000, ))</f>
        <v>0</v>
      </c>
      <c r="D40" s="153">
        <f>IF('tuot-VKO'!I41&gt;0,'tuot-VKO'!I41,IF('tuot-VKO'!H41&gt;0,'tuot-VKO'!H41*1000/7/B40, ))</f>
        <v>0</v>
      </c>
      <c r="E40" s="153">
        <f>IF(C40&gt;0,SUM(C$10:C40), )</f>
        <v>0</v>
      </c>
      <c r="F40" s="153">
        <f>IF('tuot-VKO'!K41&gt;0,'tuot-VKO'!K41,IF('tuot-VKO'!J41&gt;0,'tuot-VKO'!J41*1000/7/B40, ))</f>
        <v>0</v>
      </c>
      <c r="G40" s="155">
        <f t="shared" si="1"/>
        <v>0</v>
      </c>
      <c r="H40" s="156">
        <f>IF($H$5&gt;0,IF('tuot-VKO'!D41&gt;0,IF('tuot-VKO'!F41&gt;0,C40/'tuot-VKO'!D41/'tuot-VKO'!F41*1000, ), ), )</f>
        <v>0</v>
      </c>
      <c r="I40" s="157">
        <f>IF($L$5&gt;0,IF('tuot-VKO'!D41&gt;0,IF('tuot-VKO'!F41&gt;0,E40/SUM('tuot-VKO'!D$11:D41)/'tuot-INFO'!L40*1000, ), ), )</f>
        <v>0</v>
      </c>
      <c r="J40" s="158">
        <f>'tuot-VKO'!G41/10</f>
        <v>0</v>
      </c>
      <c r="K40" s="106" t="str">
        <f t="shared" si="2"/>
        <v>169 - 180</v>
      </c>
      <c r="L40" s="157">
        <f>'tuot-VKO'!L41</f>
        <v>0</v>
      </c>
      <c r="M40" s="57">
        <f t="shared" si="3"/>
        <v>169</v>
      </c>
      <c r="N40" s="58">
        <f t="shared" si="4"/>
        <v>179.5</v>
      </c>
      <c r="O40" s="59">
        <f t="shared" si="0"/>
        <v>10.5</v>
      </c>
      <c r="P40" s="60">
        <f t="shared" si="6"/>
        <v>0</v>
      </c>
      <c r="Q40" s="60">
        <f t="shared" si="6"/>
        <v>0</v>
      </c>
      <c r="R40" s="61">
        <v>1690</v>
      </c>
      <c r="S40" s="61">
        <v>1795</v>
      </c>
      <c r="T40" s="61"/>
      <c r="U40" s="224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x14ac:dyDescent="0.25">
      <c r="A41" s="145">
        <v>46</v>
      </c>
      <c r="B41" s="146">
        <f>'tuot-INFO'!B41</f>
        <v>9990</v>
      </c>
      <c r="C41" s="147">
        <f>IF('tuot-VKO'!H42&gt;0,'tuot-VKO'!H42,IF('tuot-VKO'!I42&gt;0,'tuot-VKO'!I42*7*B41/1000, ))</f>
        <v>0</v>
      </c>
      <c r="D41" s="146">
        <f>IF('tuot-VKO'!I42&gt;0,'tuot-VKO'!I42,IF('tuot-VKO'!H42&gt;0,'tuot-VKO'!H42*1000/7/B41, ))</f>
        <v>0</v>
      </c>
      <c r="E41" s="146">
        <f>IF(C41&gt;0,SUM(C$10:C41), )</f>
        <v>0</v>
      </c>
      <c r="F41" s="146">
        <f>IF('tuot-VKO'!K42&gt;0,'tuot-VKO'!K42,IF('tuot-VKO'!J42&gt;0,'tuot-VKO'!J42*1000/7/B41, ))</f>
        <v>0</v>
      </c>
      <c r="G41" s="148">
        <f t="shared" si="1"/>
        <v>0</v>
      </c>
      <c r="H41" s="149">
        <f>IF($H$5&gt;0,IF('tuot-VKO'!D42&gt;0,IF('tuot-VKO'!F42&gt;0,C41/'tuot-VKO'!D42/'tuot-VKO'!F42*1000, ), ), )</f>
        <v>0</v>
      </c>
      <c r="I41" s="150">
        <f>IF($L$5&gt;0,IF('tuot-VKO'!D42&gt;0,IF('tuot-VKO'!F42&gt;0,E41/SUM('tuot-VKO'!D$11:D42)/'tuot-INFO'!L41*1000, ), ), )</f>
        <v>0</v>
      </c>
      <c r="J41" s="151">
        <f>'tuot-VKO'!G42/10</f>
        <v>0</v>
      </c>
      <c r="K41" s="96" t="str">
        <f t="shared" si="2"/>
        <v>169 - 180</v>
      </c>
      <c r="L41" s="150">
        <f>'tuot-VKO'!L42</f>
        <v>0</v>
      </c>
      <c r="M41" s="57">
        <f t="shared" si="3"/>
        <v>169.3</v>
      </c>
      <c r="N41" s="58">
        <f t="shared" si="4"/>
        <v>179.7</v>
      </c>
      <c r="O41" s="59">
        <f t="shared" si="0"/>
        <v>10.399999999999977</v>
      </c>
      <c r="P41" s="60">
        <f t="shared" si="6"/>
        <v>0</v>
      </c>
      <c r="Q41" s="60">
        <f t="shared" si="6"/>
        <v>0</v>
      </c>
      <c r="R41" s="61">
        <v>1693</v>
      </c>
      <c r="S41" s="61">
        <v>1797</v>
      </c>
      <c r="T41" s="61"/>
      <c r="U41" s="224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x14ac:dyDescent="0.25">
      <c r="A42" s="145">
        <v>47</v>
      </c>
      <c r="B42" s="146">
        <f>'tuot-INFO'!B42</f>
        <v>9990</v>
      </c>
      <c r="C42" s="147">
        <f>IF('tuot-VKO'!H43&gt;0,'tuot-VKO'!H43,IF('tuot-VKO'!I43&gt;0,'tuot-VKO'!I43*7*B42/1000, ))</f>
        <v>0</v>
      </c>
      <c r="D42" s="146">
        <f>IF('tuot-VKO'!I43&gt;0,'tuot-VKO'!I43,IF('tuot-VKO'!H43&gt;0,'tuot-VKO'!H43*1000/7/B42, ))</f>
        <v>0</v>
      </c>
      <c r="E42" s="146">
        <f>IF(C42&gt;0,SUM(C$10:C42), )</f>
        <v>0</v>
      </c>
      <c r="F42" s="146">
        <f>IF('tuot-VKO'!K43&gt;0,'tuot-VKO'!K43,IF('tuot-VKO'!J43&gt;0,'tuot-VKO'!J43*1000/7/B42, ))</f>
        <v>0</v>
      </c>
      <c r="G42" s="148">
        <f t="shared" si="1"/>
        <v>0</v>
      </c>
      <c r="H42" s="149">
        <f>IF($H$5&gt;0,IF('tuot-VKO'!D43&gt;0,IF('tuot-VKO'!F43&gt;0,C42/'tuot-VKO'!D43/'tuot-VKO'!F43*1000, ), ), )</f>
        <v>0</v>
      </c>
      <c r="I42" s="150">
        <f>IF($L$5&gt;0,IF('tuot-VKO'!D43&gt;0,IF('tuot-VKO'!F43&gt;0,E42/SUM('tuot-VKO'!D$11:D43)/'tuot-INFO'!L42*1000, ), ), )</f>
        <v>0</v>
      </c>
      <c r="J42" s="151">
        <f>'tuot-VKO'!G43/10</f>
        <v>0</v>
      </c>
      <c r="K42" s="96" t="str">
        <f t="shared" si="2"/>
        <v>170 - 180</v>
      </c>
      <c r="L42" s="150">
        <f>'tuot-VKO'!L43</f>
        <v>0</v>
      </c>
      <c r="M42" s="57">
        <f t="shared" si="3"/>
        <v>169.5</v>
      </c>
      <c r="N42" s="58">
        <f t="shared" si="4"/>
        <v>180</v>
      </c>
      <c r="O42" s="59">
        <f t="shared" si="0"/>
        <v>10.5</v>
      </c>
      <c r="P42" s="60">
        <f t="shared" si="6"/>
        <v>0</v>
      </c>
      <c r="Q42" s="60">
        <f t="shared" si="6"/>
        <v>0</v>
      </c>
      <c r="R42" s="61">
        <v>1695</v>
      </c>
      <c r="S42" s="61">
        <v>1800</v>
      </c>
      <c r="T42" s="61"/>
      <c r="U42" s="224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x14ac:dyDescent="0.25">
      <c r="A43" s="145">
        <v>48</v>
      </c>
      <c r="B43" s="146">
        <f>'tuot-INFO'!B43</f>
        <v>9990</v>
      </c>
      <c r="C43" s="147">
        <f>IF('tuot-VKO'!H44&gt;0,'tuot-VKO'!H44,IF('tuot-VKO'!I44&gt;0,'tuot-VKO'!I44*7*B43/1000, ))</f>
        <v>0</v>
      </c>
      <c r="D43" s="146">
        <f>IF('tuot-VKO'!I44&gt;0,'tuot-VKO'!I44,IF('tuot-VKO'!H44&gt;0,'tuot-VKO'!H44*1000/7/B43, ))</f>
        <v>0</v>
      </c>
      <c r="E43" s="146">
        <f>IF(C43&gt;0,SUM(C$10:C43), )</f>
        <v>0</v>
      </c>
      <c r="F43" s="146">
        <f>IF('tuot-VKO'!K44&gt;0,'tuot-VKO'!K44,IF('tuot-VKO'!J44&gt;0,'tuot-VKO'!J44*1000/7/B43, ))</f>
        <v>0</v>
      </c>
      <c r="G43" s="148">
        <f t="shared" si="1"/>
        <v>0</v>
      </c>
      <c r="H43" s="149">
        <f>IF($H$5&gt;0,IF('tuot-VKO'!D44&gt;0,IF('tuot-VKO'!F44&gt;0,C43/'tuot-VKO'!D44/'tuot-VKO'!F44*1000, ), ), )</f>
        <v>0</v>
      </c>
      <c r="I43" s="150">
        <f>IF($L$5&gt;0,IF('tuot-VKO'!D44&gt;0,IF('tuot-VKO'!F44&gt;0,E43/SUM('tuot-VKO'!D$11:D44)/'tuot-INFO'!L43*1000, ), ), )</f>
        <v>0</v>
      </c>
      <c r="J43" s="151">
        <f>'tuot-VKO'!G44/10</f>
        <v>0</v>
      </c>
      <c r="K43" s="96" t="str">
        <f t="shared" si="2"/>
        <v>170 - 180</v>
      </c>
      <c r="L43" s="150">
        <f>'tuot-VKO'!L44</f>
        <v>0</v>
      </c>
      <c r="M43" s="57">
        <f t="shared" si="3"/>
        <v>169.8</v>
      </c>
      <c r="N43" s="58">
        <f t="shared" si="4"/>
        <v>180.3</v>
      </c>
      <c r="O43" s="59">
        <f t="shared" si="0"/>
        <v>10.5</v>
      </c>
      <c r="P43" s="60">
        <f t="shared" ref="P43:Q58" si="7">IF(H43&gt;0,H43,P42)</f>
        <v>0</v>
      </c>
      <c r="Q43" s="60">
        <f t="shared" si="7"/>
        <v>0</v>
      </c>
      <c r="R43" s="61">
        <v>1698</v>
      </c>
      <c r="S43" s="61">
        <v>1803</v>
      </c>
      <c r="T43" s="61"/>
      <c r="U43" s="224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x14ac:dyDescent="0.25">
      <c r="A44" s="145">
        <v>49</v>
      </c>
      <c r="B44" s="146">
        <f>'tuot-INFO'!B44</f>
        <v>9990</v>
      </c>
      <c r="C44" s="147">
        <f>IF('tuot-VKO'!H45&gt;0,'tuot-VKO'!H45,IF('tuot-VKO'!I45&gt;0,'tuot-VKO'!I45*7*B44/1000, ))</f>
        <v>0</v>
      </c>
      <c r="D44" s="146">
        <f>IF('tuot-VKO'!I45&gt;0,'tuot-VKO'!I45,IF('tuot-VKO'!H45&gt;0,'tuot-VKO'!H45*1000/7/B44, ))</f>
        <v>0</v>
      </c>
      <c r="E44" s="146">
        <f>IF(C44&gt;0,SUM(C$10:C44), )</f>
        <v>0</v>
      </c>
      <c r="F44" s="146">
        <f>IF('tuot-VKO'!K45&gt;0,'tuot-VKO'!K45,IF('tuot-VKO'!J45&gt;0,'tuot-VKO'!J45*1000/7/B44, ))</f>
        <v>0</v>
      </c>
      <c r="G44" s="148">
        <f t="shared" si="1"/>
        <v>0</v>
      </c>
      <c r="H44" s="149">
        <f>IF($H$5&gt;0,IF('tuot-VKO'!D45&gt;0,IF('tuot-VKO'!F45&gt;0,C44/'tuot-VKO'!D45/'tuot-VKO'!F45*1000, ), ), )</f>
        <v>0</v>
      </c>
      <c r="I44" s="150">
        <f>IF($L$5&gt;0,IF('tuot-VKO'!D45&gt;0,IF('tuot-VKO'!F45&gt;0,E44/SUM('tuot-VKO'!D$11:D45)/'tuot-INFO'!L44*1000, ), ), )</f>
        <v>0</v>
      </c>
      <c r="J44" s="151">
        <f>'tuot-VKO'!G45/10</f>
        <v>0</v>
      </c>
      <c r="K44" s="96" t="str">
        <f t="shared" si="2"/>
        <v>170 - 180</v>
      </c>
      <c r="L44" s="150">
        <f>'tuot-VKO'!L45</f>
        <v>0</v>
      </c>
      <c r="M44" s="57">
        <f t="shared" si="3"/>
        <v>169.9</v>
      </c>
      <c r="N44" s="58">
        <f t="shared" si="4"/>
        <v>180.4</v>
      </c>
      <c r="O44" s="59">
        <f t="shared" si="0"/>
        <v>10.5</v>
      </c>
      <c r="P44" s="60">
        <f t="shared" si="7"/>
        <v>0</v>
      </c>
      <c r="Q44" s="60">
        <f t="shared" si="7"/>
        <v>0</v>
      </c>
      <c r="R44" s="61">
        <v>1699</v>
      </c>
      <c r="S44" s="61">
        <v>1804</v>
      </c>
      <c r="T44" s="61"/>
      <c r="U44" s="224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x14ac:dyDescent="0.25">
      <c r="A45" s="152">
        <v>50</v>
      </c>
      <c r="B45" s="153">
        <f>'tuot-INFO'!B45</f>
        <v>9990</v>
      </c>
      <c r="C45" s="154">
        <f>IF('tuot-VKO'!H46&gt;0,'tuot-VKO'!H46,IF('tuot-VKO'!I46&gt;0,'tuot-VKO'!I46*7*B45/1000, ))</f>
        <v>0</v>
      </c>
      <c r="D45" s="153">
        <f>IF('tuot-VKO'!I46&gt;0,'tuot-VKO'!I46,IF('tuot-VKO'!H46&gt;0,'tuot-VKO'!H46*1000/7/B45, ))</f>
        <v>0</v>
      </c>
      <c r="E45" s="153">
        <f>IF(C45&gt;0,SUM(C$10:C45), )</f>
        <v>0</v>
      </c>
      <c r="F45" s="153">
        <f>IF('tuot-VKO'!K46&gt;0,'tuot-VKO'!K46,IF('tuot-VKO'!J46&gt;0,'tuot-VKO'!J46*1000/7/B45, ))</f>
        <v>0</v>
      </c>
      <c r="G45" s="155">
        <f t="shared" si="1"/>
        <v>0</v>
      </c>
      <c r="H45" s="156">
        <f>IF($H$5&gt;0,IF('tuot-VKO'!D46&gt;0,IF('tuot-VKO'!F46&gt;0,C45/'tuot-VKO'!D46/'tuot-VKO'!F46*1000, ), ), )</f>
        <v>0</v>
      </c>
      <c r="I45" s="157">
        <f>IF($L$5&gt;0,IF('tuot-VKO'!D46&gt;0,IF('tuot-VKO'!F46&gt;0,E45/SUM('tuot-VKO'!D$11:D46)/'tuot-INFO'!L45*1000, ), ), )</f>
        <v>0</v>
      </c>
      <c r="J45" s="158">
        <f>'tuot-VKO'!G46/10</f>
        <v>0</v>
      </c>
      <c r="K45" s="106" t="str">
        <f t="shared" si="2"/>
        <v>170 - 181</v>
      </c>
      <c r="L45" s="157">
        <f>'tuot-VKO'!L46</f>
        <v>0</v>
      </c>
      <c r="M45" s="57">
        <f t="shared" si="3"/>
        <v>170</v>
      </c>
      <c r="N45" s="58">
        <f t="shared" si="4"/>
        <v>180.5</v>
      </c>
      <c r="O45" s="59">
        <f t="shared" si="0"/>
        <v>10.5</v>
      </c>
      <c r="P45" s="60">
        <f t="shared" si="7"/>
        <v>0</v>
      </c>
      <c r="Q45" s="60">
        <f t="shared" si="7"/>
        <v>0</v>
      </c>
      <c r="R45" s="61">
        <v>1700</v>
      </c>
      <c r="S45" s="61">
        <v>1805</v>
      </c>
      <c r="T45" s="61"/>
      <c r="U45" s="224"/>
      <c r="V45" s="12"/>
      <c r="W45" s="12"/>
      <c r="X45" s="12"/>
      <c r="Y45" s="12"/>
      <c r="Z45" s="12"/>
      <c r="AA45" s="12"/>
      <c r="AB45" s="12"/>
      <c r="AC45" s="12"/>
      <c r="AD45" s="12"/>
    </row>
    <row r="46" spans="1:30" x14ac:dyDescent="0.25">
      <c r="A46" s="145">
        <v>51</v>
      </c>
      <c r="B46" s="146">
        <f>'tuot-INFO'!B46</f>
        <v>9990</v>
      </c>
      <c r="C46" s="147">
        <f>IF('tuot-VKO'!H47&gt;0,'tuot-VKO'!H47,IF('tuot-VKO'!I47&gt;0,'tuot-VKO'!I47*7*B46/1000, ))</f>
        <v>0</v>
      </c>
      <c r="D46" s="146">
        <f>IF('tuot-VKO'!I47&gt;0,'tuot-VKO'!I47,IF('tuot-VKO'!H47&gt;0,'tuot-VKO'!H47*1000/7/B46, ))</f>
        <v>0</v>
      </c>
      <c r="E46" s="146">
        <f>IF(C46&gt;0,SUM(C$10:C46), )</f>
        <v>0</v>
      </c>
      <c r="F46" s="146">
        <f>IF('tuot-VKO'!K47&gt;0,'tuot-VKO'!K47,IF('tuot-VKO'!J47&gt;0,'tuot-VKO'!J47*1000/7/B46, ))</f>
        <v>0</v>
      </c>
      <c r="G46" s="148">
        <f t="shared" si="1"/>
        <v>0</v>
      </c>
      <c r="H46" s="149">
        <f>IF($H$5&gt;0,IF('tuot-VKO'!D47&gt;0,IF('tuot-VKO'!F47&gt;0,C46/'tuot-VKO'!D47/'tuot-VKO'!F47*1000, ), ), )</f>
        <v>0</v>
      </c>
      <c r="I46" s="150">
        <f>IF($L$5&gt;0,IF('tuot-VKO'!D47&gt;0,IF('tuot-VKO'!F47&gt;0,E46/SUM('tuot-VKO'!D$11:D47)/'tuot-INFO'!L46*1000, ), ), )</f>
        <v>0</v>
      </c>
      <c r="J46" s="151">
        <f>'tuot-VKO'!G47/10</f>
        <v>0</v>
      </c>
      <c r="K46" s="96" t="str">
        <f t="shared" si="2"/>
        <v>170 - 181</v>
      </c>
      <c r="L46" s="150">
        <f>'tuot-VKO'!L47</f>
        <v>0</v>
      </c>
      <c r="M46" s="57">
        <f t="shared" si="3"/>
        <v>170.1</v>
      </c>
      <c r="N46" s="58">
        <f t="shared" si="4"/>
        <v>180.6</v>
      </c>
      <c r="O46" s="59">
        <f t="shared" si="0"/>
        <v>10.5</v>
      </c>
      <c r="P46" s="60">
        <f t="shared" si="7"/>
        <v>0</v>
      </c>
      <c r="Q46" s="60">
        <f t="shared" si="7"/>
        <v>0</v>
      </c>
      <c r="R46" s="61">
        <v>1701</v>
      </c>
      <c r="S46" s="61">
        <v>1806</v>
      </c>
      <c r="T46" s="61"/>
      <c r="U46" s="224"/>
      <c r="V46" s="12"/>
      <c r="W46" s="12"/>
      <c r="X46" s="12"/>
      <c r="Y46" s="12"/>
      <c r="Z46" s="12"/>
      <c r="AA46" s="12"/>
      <c r="AB46" s="12"/>
      <c r="AC46" s="12"/>
      <c r="AD46" s="12"/>
    </row>
    <row r="47" spans="1:30" x14ac:dyDescent="0.25">
      <c r="A47" s="145">
        <v>52</v>
      </c>
      <c r="B47" s="146">
        <f>'tuot-INFO'!B47</f>
        <v>9990</v>
      </c>
      <c r="C47" s="147">
        <f>IF('tuot-VKO'!H48&gt;0,'tuot-VKO'!H48,IF('tuot-VKO'!I48&gt;0,'tuot-VKO'!I48*7*B47/1000, ))</f>
        <v>0</v>
      </c>
      <c r="D47" s="146">
        <f>IF('tuot-VKO'!I48&gt;0,'tuot-VKO'!I48,IF('tuot-VKO'!H48&gt;0,'tuot-VKO'!H48*1000/7/B47, ))</f>
        <v>0</v>
      </c>
      <c r="E47" s="146">
        <f>IF(C47&gt;0,SUM(C$10:C47), )</f>
        <v>0</v>
      </c>
      <c r="F47" s="146">
        <f>IF('tuot-VKO'!K48&gt;0,'tuot-VKO'!K48,IF('tuot-VKO'!J48&gt;0,'tuot-VKO'!J48*1000/7/B47, ))</f>
        <v>0</v>
      </c>
      <c r="G47" s="148">
        <f t="shared" si="1"/>
        <v>0</v>
      </c>
      <c r="H47" s="149">
        <f>IF($H$5&gt;0,IF('tuot-VKO'!D48&gt;0,IF('tuot-VKO'!F48&gt;0,C47/'tuot-VKO'!D48/'tuot-VKO'!F48*1000, ), ), )</f>
        <v>0</v>
      </c>
      <c r="I47" s="150">
        <f>IF($L$5&gt;0,IF('tuot-VKO'!D48&gt;0,IF('tuot-VKO'!F48&gt;0,E47/SUM('tuot-VKO'!D$11:D48)/'tuot-INFO'!L47*1000, ), ), )</f>
        <v>0</v>
      </c>
      <c r="J47" s="151">
        <f>'tuot-VKO'!G48/10</f>
        <v>0</v>
      </c>
      <c r="K47" s="96" t="str">
        <f t="shared" si="2"/>
        <v>170 - 181</v>
      </c>
      <c r="L47" s="150">
        <f>'tuot-VKO'!L48</f>
        <v>0</v>
      </c>
      <c r="M47" s="57">
        <f t="shared" si="3"/>
        <v>170.2</v>
      </c>
      <c r="N47" s="58">
        <f t="shared" si="4"/>
        <v>180.8</v>
      </c>
      <c r="O47" s="59">
        <f t="shared" si="0"/>
        <v>10.600000000000023</v>
      </c>
      <c r="P47" s="60">
        <f t="shared" si="7"/>
        <v>0</v>
      </c>
      <c r="Q47" s="60">
        <f t="shared" si="7"/>
        <v>0</v>
      </c>
      <c r="R47" s="61">
        <v>1702</v>
      </c>
      <c r="S47" s="61">
        <v>1808</v>
      </c>
      <c r="T47" s="61"/>
      <c r="U47" s="224"/>
      <c r="V47" s="12"/>
      <c r="W47" s="12"/>
      <c r="X47" s="12"/>
      <c r="Y47" s="12"/>
      <c r="Z47" s="12"/>
      <c r="AA47" s="12"/>
      <c r="AB47" s="12"/>
      <c r="AC47" s="12"/>
      <c r="AD47" s="12"/>
    </row>
    <row r="48" spans="1:30" x14ac:dyDescent="0.25">
      <c r="A48" s="145">
        <v>53</v>
      </c>
      <c r="B48" s="146">
        <f>'tuot-INFO'!B48</f>
        <v>9990</v>
      </c>
      <c r="C48" s="147">
        <f>IF('tuot-VKO'!H49&gt;0,'tuot-VKO'!H49,IF('tuot-VKO'!I49&gt;0,'tuot-VKO'!I49*7*B48/1000, ))</f>
        <v>0</v>
      </c>
      <c r="D48" s="146">
        <f>IF('tuot-VKO'!I49&gt;0,'tuot-VKO'!I49,IF('tuot-VKO'!H49&gt;0,'tuot-VKO'!H49*1000/7/B48, ))</f>
        <v>0</v>
      </c>
      <c r="E48" s="146">
        <f>IF(C48&gt;0,SUM(C$10:C48), )</f>
        <v>0</v>
      </c>
      <c r="F48" s="146">
        <f>IF('tuot-VKO'!K49&gt;0,'tuot-VKO'!K49,IF('tuot-VKO'!J49&gt;0,'tuot-VKO'!J49*1000/7/B48, ))</f>
        <v>0</v>
      </c>
      <c r="G48" s="148">
        <f t="shared" si="1"/>
        <v>0</v>
      </c>
      <c r="H48" s="149">
        <f>IF($H$5&gt;0,IF('tuot-VKO'!D49&gt;0,IF('tuot-VKO'!F49&gt;0,C48/'tuot-VKO'!D49/'tuot-VKO'!F49*1000, ), ), )</f>
        <v>0</v>
      </c>
      <c r="I48" s="150">
        <f>IF($L$5&gt;0,IF('tuot-VKO'!D49&gt;0,IF('tuot-VKO'!F49&gt;0,E48/SUM('tuot-VKO'!D$11:D49)/'tuot-INFO'!L48*1000, ), ), )</f>
        <v>0</v>
      </c>
      <c r="J48" s="151">
        <f>'tuot-VKO'!G49/10</f>
        <v>0</v>
      </c>
      <c r="K48" s="96" t="str">
        <f t="shared" si="2"/>
        <v>170 - 181</v>
      </c>
      <c r="L48" s="150">
        <f>'tuot-VKO'!L49</f>
        <v>0</v>
      </c>
      <c r="M48" s="57">
        <f t="shared" si="3"/>
        <v>170.4</v>
      </c>
      <c r="N48" s="58">
        <f t="shared" si="4"/>
        <v>180.9</v>
      </c>
      <c r="O48" s="59">
        <f t="shared" si="0"/>
        <v>10.5</v>
      </c>
      <c r="P48" s="60">
        <f t="shared" si="7"/>
        <v>0</v>
      </c>
      <c r="Q48" s="60">
        <f t="shared" si="7"/>
        <v>0</v>
      </c>
      <c r="R48" s="61">
        <v>1704</v>
      </c>
      <c r="S48" s="61">
        <v>1809</v>
      </c>
      <c r="T48" s="61"/>
      <c r="U48" s="224"/>
      <c r="V48" s="12"/>
      <c r="W48" s="12"/>
      <c r="X48" s="12"/>
      <c r="Y48" s="12"/>
      <c r="Z48" s="12"/>
      <c r="AA48" s="12"/>
      <c r="AB48" s="12"/>
      <c r="AC48" s="12"/>
      <c r="AD48" s="12"/>
    </row>
    <row r="49" spans="1:30" x14ac:dyDescent="0.25">
      <c r="A49" s="145">
        <v>54</v>
      </c>
      <c r="B49" s="146">
        <f>'tuot-INFO'!B49</f>
        <v>9990</v>
      </c>
      <c r="C49" s="147">
        <f>IF('tuot-VKO'!H50&gt;0,'tuot-VKO'!H50,IF('tuot-VKO'!I50&gt;0,'tuot-VKO'!I50*7*B49/1000, ))</f>
        <v>0</v>
      </c>
      <c r="D49" s="146">
        <f>IF('tuot-VKO'!I50&gt;0,'tuot-VKO'!I50,IF('tuot-VKO'!H50&gt;0,'tuot-VKO'!H50*1000/7/B49, ))</f>
        <v>0</v>
      </c>
      <c r="E49" s="146">
        <f>IF(C49&gt;0,SUM(C$10:C49), )</f>
        <v>0</v>
      </c>
      <c r="F49" s="146">
        <f>IF('tuot-VKO'!K50&gt;0,'tuot-VKO'!K50,IF('tuot-VKO'!J50&gt;0,'tuot-VKO'!J50*1000/7/B49, ))</f>
        <v>0</v>
      </c>
      <c r="G49" s="148">
        <f t="shared" si="1"/>
        <v>0</v>
      </c>
      <c r="H49" s="149">
        <f>IF($H$5&gt;0,IF('tuot-VKO'!D50&gt;0,IF('tuot-VKO'!F50&gt;0,C49/'tuot-VKO'!D50/'tuot-VKO'!F50*1000, ), ), )</f>
        <v>0</v>
      </c>
      <c r="I49" s="150">
        <f>IF($L$5&gt;0,IF('tuot-VKO'!D50&gt;0,IF('tuot-VKO'!F50&gt;0,E49/SUM('tuot-VKO'!D$11:D50)/'tuot-INFO'!L49*1000, ), ), )</f>
        <v>0</v>
      </c>
      <c r="J49" s="151">
        <f>'tuot-VKO'!G50/10</f>
        <v>0</v>
      </c>
      <c r="K49" s="96" t="str">
        <f t="shared" si="2"/>
        <v>171 - 181</v>
      </c>
      <c r="L49" s="150">
        <f>'tuot-VKO'!L50</f>
        <v>0</v>
      </c>
      <c r="M49" s="57">
        <f t="shared" si="3"/>
        <v>170.5</v>
      </c>
      <c r="N49" s="58">
        <f t="shared" si="4"/>
        <v>181</v>
      </c>
      <c r="O49" s="59">
        <f t="shared" si="0"/>
        <v>10.5</v>
      </c>
      <c r="P49" s="60">
        <f t="shared" si="7"/>
        <v>0</v>
      </c>
      <c r="Q49" s="60">
        <f t="shared" si="7"/>
        <v>0</v>
      </c>
      <c r="R49" s="61">
        <v>1705</v>
      </c>
      <c r="S49" s="61">
        <v>1810</v>
      </c>
      <c r="T49" s="61"/>
      <c r="U49" s="224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 x14ac:dyDescent="0.25">
      <c r="A50" s="152">
        <v>55</v>
      </c>
      <c r="B50" s="153">
        <f>'tuot-INFO'!B50</f>
        <v>9990</v>
      </c>
      <c r="C50" s="154">
        <f>IF('tuot-VKO'!H51&gt;0,'tuot-VKO'!H51,IF('tuot-VKO'!I51&gt;0,'tuot-VKO'!I51*7*B50/1000, ))</f>
        <v>0</v>
      </c>
      <c r="D50" s="153">
        <f>IF('tuot-VKO'!I51&gt;0,'tuot-VKO'!I51,IF('tuot-VKO'!H51&gt;0,'tuot-VKO'!H51*1000/7/B50, ))</f>
        <v>0</v>
      </c>
      <c r="E50" s="153">
        <f>IF(C50&gt;0,SUM(C$10:C50), )</f>
        <v>0</v>
      </c>
      <c r="F50" s="153">
        <f>IF('tuot-VKO'!K51&gt;0,'tuot-VKO'!K51,IF('tuot-VKO'!J51&gt;0,'tuot-VKO'!J51*1000/7/B50, ))</f>
        <v>0</v>
      </c>
      <c r="G50" s="155">
        <f t="shared" si="1"/>
        <v>0</v>
      </c>
      <c r="H50" s="156">
        <f>IF($H$5&gt;0,IF('tuot-VKO'!D51&gt;0,IF('tuot-VKO'!F51&gt;0,C50/'tuot-VKO'!D51/'tuot-VKO'!F51*1000, ), ), )</f>
        <v>0</v>
      </c>
      <c r="I50" s="157">
        <f>IF($L$5&gt;0,IF('tuot-VKO'!D51&gt;0,IF('tuot-VKO'!F51&gt;0,E50/SUM('tuot-VKO'!D$11:D51)/'tuot-INFO'!L50*1000, ), ), )</f>
        <v>0</v>
      </c>
      <c r="J50" s="158">
        <f>'tuot-VKO'!G51/10</f>
        <v>0</v>
      </c>
      <c r="K50" s="106" t="str">
        <f t="shared" si="2"/>
        <v>171 - 181</v>
      </c>
      <c r="L50" s="157">
        <f>'tuot-VKO'!L51</f>
        <v>0</v>
      </c>
      <c r="M50" s="57">
        <f t="shared" si="3"/>
        <v>170.6</v>
      </c>
      <c r="N50" s="58">
        <f t="shared" si="4"/>
        <v>181.2</v>
      </c>
      <c r="O50" s="59">
        <f t="shared" si="0"/>
        <v>10.599999999999994</v>
      </c>
      <c r="P50" s="60">
        <f t="shared" si="7"/>
        <v>0</v>
      </c>
      <c r="Q50" s="60">
        <f t="shared" si="7"/>
        <v>0</v>
      </c>
      <c r="R50" s="61">
        <v>1706</v>
      </c>
      <c r="S50" s="61">
        <v>1812</v>
      </c>
      <c r="T50" s="61"/>
      <c r="U50" s="224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 x14ac:dyDescent="0.25">
      <c r="A51" s="145">
        <v>56</v>
      </c>
      <c r="B51" s="146">
        <f>'tuot-INFO'!B51</f>
        <v>9990</v>
      </c>
      <c r="C51" s="147">
        <f>IF('tuot-VKO'!H52&gt;0,'tuot-VKO'!H52,IF('tuot-VKO'!I52&gt;0,'tuot-VKO'!I52*7*B51/1000, ))</f>
        <v>0</v>
      </c>
      <c r="D51" s="146">
        <f>IF('tuot-VKO'!I52&gt;0,'tuot-VKO'!I52,IF('tuot-VKO'!H52&gt;0,'tuot-VKO'!H52*1000/7/B51, ))</f>
        <v>0</v>
      </c>
      <c r="E51" s="146">
        <f>IF(C51&gt;0,SUM(C$10:C51), )</f>
        <v>0</v>
      </c>
      <c r="F51" s="146">
        <f>IF('tuot-VKO'!K52&gt;0,'tuot-VKO'!K52,IF('tuot-VKO'!J52&gt;0,'tuot-VKO'!J52*1000/7/B51, ))</f>
        <v>0</v>
      </c>
      <c r="G51" s="148">
        <f t="shared" si="1"/>
        <v>0</v>
      </c>
      <c r="H51" s="149">
        <f>IF($H$5&gt;0,IF('tuot-VKO'!D52&gt;0,IF('tuot-VKO'!F52&gt;0,C51/'tuot-VKO'!D52/'tuot-VKO'!F52*1000, ), ), )</f>
        <v>0</v>
      </c>
      <c r="I51" s="150">
        <f>IF($L$5&gt;0,IF('tuot-VKO'!D52&gt;0,IF('tuot-VKO'!F52&gt;0,E51/SUM('tuot-VKO'!D$11:D52)/'tuot-INFO'!L51*1000, ), ), )</f>
        <v>0</v>
      </c>
      <c r="J51" s="151">
        <f>'tuot-VKO'!G52/10</f>
        <v>0</v>
      </c>
      <c r="K51" s="96" t="str">
        <f t="shared" si="2"/>
        <v>171 - 181</v>
      </c>
      <c r="L51" s="150">
        <f>'tuot-VKO'!L52</f>
        <v>0</v>
      </c>
      <c r="M51" s="57">
        <f t="shared" si="3"/>
        <v>170.7</v>
      </c>
      <c r="N51" s="58">
        <f t="shared" si="4"/>
        <v>181.3</v>
      </c>
      <c r="O51" s="59">
        <f t="shared" si="0"/>
        <v>10.600000000000023</v>
      </c>
      <c r="P51" s="60">
        <f t="shared" si="7"/>
        <v>0</v>
      </c>
      <c r="Q51" s="60">
        <f t="shared" si="7"/>
        <v>0</v>
      </c>
      <c r="R51" s="61">
        <v>1707</v>
      </c>
      <c r="S51" s="61">
        <v>1813</v>
      </c>
      <c r="T51" s="61"/>
      <c r="U51" s="224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 x14ac:dyDescent="0.25">
      <c r="A52" s="145">
        <v>57</v>
      </c>
      <c r="B52" s="146">
        <f>'tuot-INFO'!B52</f>
        <v>9990</v>
      </c>
      <c r="C52" s="147">
        <f>IF('tuot-VKO'!H53&gt;0,'tuot-VKO'!H53,IF('tuot-VKO'!I53&gt;0,'tuot-VKO'!I53*7*B52/1000, ))</f>
        <v>0</v>
      </c>
      <c r="D52" s="146">
        <f>IF('tuot-VKO'!I53&gt;0,'tuot-VKO'!I53,IF('tuot-VKO'!H53&gt;0,'tuot-VKO'!H53*1000/7/B52, ))</f>
        <v>0</v>
      </c>
      <c r="E52" s="146">
        <f>IF(C52&gt;0,SUM(C$10:C52), )</f>
        <v>0</v>
      </c>
      <c r="F52" s="146">
        <f>IF('tuot-VKO'!K53&gt;0,'tuot-VKO'!K53,IF('tuot-VKO'!J53&gt;0,'tuot-VKO'!J53*1000/7/B52, ))</f>
        <v>0</v>
      </c>
      <c r="G52" s="148">
        <f t="shared" si="1"/>
        <v>0</v>
      </c>
      <c r="H52" s="149">
        <f>IF($H$5&gt;0,IF('tuot-VKO'!D53&gt;0,IF('tuot-VKO'!F53&gt;0,C52/'tuot-VKO'!D53/'tuot-VKO'!F53*1000, ), ), )</f>
        <v>0</v>
      </c>
      <c r="I52" s="150">
        <f>IF($L$5&gt;0,IF('tuot-VKO'!D53&gt;0,IF('tuot-VKO'!F53&gt;0,E52/SUM('tuot-VKO'!D$11:D53)/'tuot-INFO'!L52*1000, ), ), )</f>
        <v>0</v>
      </c>
      <c r="J52" s="151">
        <f>'tuot-VKO'!G53/10</f>
        <v>0</v>
      </c>
      <c r="K52" s="96" t="str">
        <f t="shared" si="2"/>
        <v>171 - 181</v>
      </c>
      <c r="L52" s="150">
        <f>'tuot-VKO'!L53</f>
        <v>0</v>
      </c>
      <c r="M52" s="57">
        <f t="shared" si="3"/>
        <v>170.8</v>
      </c>
      <c r="N52" s="58">
        <f t="shared" si="4"/>
        <v>181.4</v>
      </c>
      <c r="O52" s="59">
        <f t="shared" si="0"/>
        <v>10.599999999999994</v>
      </c>
      <c r="P52" s="60">
        <f t="shared" si="7"/>
        <v>0</v>
      </c>
      <c r="Q52" s="60">
        <f t="shared" si="7"/>
        <v>0</v>
      </c>
      <c r="R52" s="61">
        <v>1708</v>
      </c>
      <c r="S52" s="61">
        <v>1814</v>
      </c>
      <c r="T52" s="61"/>
      <c r="U52" s="224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 x14ac:dyDescent="0.25">
      <c r="A53" s="145">
        <v>58</v>
      </c>
      <c r="B53" s="146">
        <f>'tuot-INFO'!B53</f>
        <v>9990</v>
      </c>
      <c r="C53" s="147">
        <f>IF('tuot-VKO'!H54&gt;0,'tuot-VKO'!H54,IF('tuot-VKO'!I54&gt;0,'tuot-VKO'!I54*7*B53/1000, ))</f>
        <v>0</v>
      </c>
      <c r="D53" s="146">
        <f>IF('tuot-VKO'!I54&gt;0,'tuot-VKO'!I54,IF('tuot-VKO'!H54&gt;0,'tuot-VKO'!H54*1000/7/B53, ))</f>
        <v>0</v>
      </c>
      <c r="E53" s="146">
        <f>IF(C53&gt;0,SUM(C$10:C53), )</f>
        <v>0</v>
      </c>
      <c r="F53" s="146">
        <f>IF('tuot-VKO'!K54&gt;0,'tuot-VKO'!K54,IF('tuot-VKO'!J54&gt;0,'tuot-VKO'!J54*1000/7/B53, ))</f>
        <v>0</v>
      </c>
      <c r="G53" s="148">
        <f t="shared" si="1"/>
        <v>0</v>
      </c>
      <c r="H53" s="149">
        <f>IF($H$5&gt;0,IF('tuot-VKO'!D54&gt;0,IF('tuot-VKO'!F54&gt;0,C53/'tuot-VKO'!D54/'tuot-VKO'!F54*1000, ), ), )</f>
        <v>0</v>
      </c>
      <c r="I53" s="150">
        <f>IF($L$5&gt;0,IF('tuot-VKO'!D54&gt;0,IF('tuot-VKO'!F54&gt;0,E53/SUM('tuot-VKO'!D$11:D54)/'tuot-INFO'!L53*1000, ), ), )</f>
        <v>0</v>
      </c>
      <c r="J53" s="151">
        <f>'tuot-VKO'!G54/10</f>
        <v>0</v>
      </c>
      <c r="K53" s="96" t="str">
        <f t="shared" si="2"/>
        <v>171 - 182</v>
      </c>
      <c r="L53" s="150">
        <f>'tuot-VKO'!L54</f>
        <v>0</v>
      </c>
      <c r="M53" s="57">
        <f t="shared" si="3"/>
        <v>171</v>
      </c>
      <c r="N53" s="58">
        <f t="shared" si="4"/>
        <v>181.5</v>
      </c>
      <c r="O53" s="59">
        <f t="shared" si="0"/>
        <v>10.5</v>
      </c>
      <c r="P53" s="60">
        <f t="shared" si="7"/>
        <v>0</v>
      </c>
      <c r="Q53" s="60">
        <f t="shared" si="7"/>
        <v>0</v>
      </c>
      <c r="R53" s="61">
        <v>1710</v>
      </c>
      <c r="S53" s="61">
        <v>1815</v>
      </c>
      <c r="T53" s="61"/>
      <c r="U53" s="224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x14ac:dyDescent="0.25">
      <c r="A54" s="145">
        <v>59</v>
      </c>
      <c r="B54" s="146">
        <f>'tuot-INFO'!B54</f>
        <v>9990</v>
      </c>
      <c r="C54" s="147">
        <f>IF('tuot-VKO'!H55&gt;0,'tuot-VKO'!H55,IF('tuot-VKO'!I55&gt;0,'tuot-VKO'!I55*7*B54/1000, ))</f>
        <v>0</v>
      </c>
      <c r="D54" s="146">
        <f>IF('tuot-VKO'!I55&gt;0,'tuot-VKO'!I55,IF('tuot-VKO'!H55&gt;0,'tuot-VKO'!H55*1000/7/B54, ))</f>
        <v>0</v>
      </c>
      <c r="E54" s="146">
        <f>IF(C54&gt;0,SUM(C$10:C54), )</f>
        <v>0</v>
      </c>
      <c r="F54" s="146">
        <f>IF('tuot-VKO'!K55&gt;0,'tuot-VKO'!K55,IF('tuot-VKO'!J55&gt;0,'tuot-VKO'!J55*1000/7/B54, ))</f>
        <v>0</v>
      </c>
      <c r="G54" s="148">
        <f t="shared" si="1"/>
        <v>0</v>
      </c>
      <c r="H54" s="149">
        <f>IF($H$5&gt;0,IF('tuot-VKO'!D55&gt;0,IF('tuot-VKO'!F55&gt;0,C54/'tuot-VKO'!D55/'tuot-VKO'!F55*1000, ), ), )</f>
        <v>0</v>
      </c>
      <c r="I54" s="150">
        <f>IF($L$5&gt;0,IF('tuot-VKO'!D55&gt;0,IF('tuot-VKO'!F55&gt;0,E54/SUM('tuot-VKO'!D$11:D55)/'tuot-INFO'!L54*1000, ), ), )</f>
        <v>0</v>
      </c>
      <c r="J54" s="151">
        <f>'tuot-VKO'!G55/10</f>
        <v>0</v>
      </c>
      <c r="K54" s="96" t="str">
        <f t="shared" si="2"/>
        <v>171 - 182</v>
      </c>
      <c r="L54" s="150">
        <f>'tuot-VKO'!L55</f>
        <v>0</v>
      </c>
      <c r="M54" s="57">
        <f t="shared" si="3"/>
        <v>171.1</v>
      </c>
      <c r="N54" s="58">
        <f t="shared" si="4"/>
        <v>181.7</v>
      </c>
      <c r="O54" s="59">
        <f t="shared" si="0"/>
        <v>10.599999999999994</v>
      </c>
      <c r="P54" s="60">
        <f t="shared" si="7"/>
        <v>0</v>
      </c>
      <c r="Q54" s="60">
        <f t="shared" si="7"/>
        <v>0</v>
      </c>
      <c r="R54" s="61">
        <v>1711</v>
      </c>
      <c r="S54" s="61">
        <v>1817</v>
      </c>
      <c r="T54" s="61"/>
      <c r="U54" s="224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x14ac:dyDescent="0.25">
      <c r="A55" s="152">
        <v>60</v>
      </c>
      <c r="B55" s="153">
        <f>'tuot-INFO'!B55</f>
        <v>9990</v>
      </c>
      <c r="C55" s="154">
        <f>IF('tuot-VKO'!H56&gt;0,'tuot-VKO'!H56,IF('tuot-VKO'!I56&gt;0,'tuot-VKO'!I56*7*B55/1000, ))</f>
        <v>0</v>
      </c>
      <c r="D55" s="153">
        <f>IF('tuot-VKO'!I56&gt;0,'tuot-VKO'!I56,IF('tuot-VKO'!H56&gt;0,'tuot-VKO'!H56*1000/7/B55, ))</f>
        <v>0</v>
      </c>
      <c r="E55" s="153">
        <f>IF(C55&gt;0,SUM(C$10:C55), )</f>
        <v>0</v>
      </c>
      <c r="F55" s="153">
        <f>IF('tuot-VKO'!K56&gt;0,'tuot-VKO'!K56,IF('tuot-VKO'!J56&gt;0,'tuot-VKO'!J56*1000/7/B55, ))</f>
        <v>0</v>
      </c>
      <c r="G55" s="155">
        <f t="shared" si="1"/>
        <v>0</v>
      </c>
      <c r="H55" s="156">
        <f>IF($H$5&gt;0,IF('tuot-VKO'!D56&gt;0,IF('tuot-VKO'!F56&gt;0,C55/'tuot-VKO'!D56/'tuot-VKO'!F56*1000, ), ), )</f>
        <v>0</v>
      </c>
      <c r="I55" s="157">
        <f>IF($L$5&gt;0,IF('tuot-VKO'!D56&gt;0,IF('tuot-VKO'!F56&gt;0,E55/SUM('tuot-VKO'!D$11:D56)/'tuot-INFO'!L55*1000, ), ), )</f>
        <v>0</v>
      </c>
      <c r="J55" s="158">
        <f>'tuot-VKO'!G56/10</f>
        <v>0</v>
      </c>
      <c r="K55" s="106" t="str">
        <f t="shared" si="2"/>
        <v>171 - 182</v>
      </c>
      <c r="L55" s="157">
        <f>'tuot-VKO'!L56</f>
        <v>0</v>
      </c>
      <c r="M55" s="57">
        <f t="shared" si="3"/>
        <v>171.2</v>
      </c>
      <c r="N55" s="58">
        <f t="shared" si="4"/>
        <v>181.8</v>
      </c>
      <c r="O55" s="59">
        <f t="shared" si="0"/>
        <v>10.600000000000023</v>
      </c>
      <c r="P55" s="60">
        <f t="shared" si="7"/>
        <v>0</v>
      </c>
      <c r="Q55" s="60">
        <f t="shared" si="7"/>
        <v>0</v>
      </c>
      <c r="R55" s="61">
        <v>1712</v>
      </c>
      <c r="S55" s="61">
        <v>1818</v>
      </c>
      <c r="T55" s="61"/>
      <c r="U55" s="224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x14ac:dyDescent="0.25">
      <c r="A56" s="145">
        <v>61</v>
      </c>
      <c r="B56" s="146">
        <f>'tuot-INFO'!B56</f>
        <v>9990</v>
      </c>
      <c r="C56" s="147">
        <f>IF('tuot-VKO'!H57&gt;0,'tuot-VKO'!H57,IF('tuot-VKO'!I57&gt;0,'tuot-VKO'!I57*7*B56/1000, ))</f>
        <v>0</v>
      </c>
      <c r="D56" s="146">
        <f>IF('tuot-VKO'!I57&gt;0,'tuot-VKO'!I57,IF('tuot-VKO'!H57&gt;0,'tuot-VKO'!H57*1000/7/B56, ))</f>
        <v>0</v>
      </c>
      <c r="E56" s="146">
        <f>IF(C56&gt;0,SUM(C$10:C56), )</f>
        <v>0</v>
      </c>
      <c r="F56" s="146">
        <f>IF('tuot-VKO'!K57&gt;0,'tuot-VKO'!K57,IF('tuot-VKO'!J57&gt;0,'tuot-VKO'!J57*1000/7/B56, ))</f>
        <v>0</v>
      </c>
      <c r="G56" s="148">
        <f t="shared" si="1"/>
        <v>0</v>
      </c>
      <c r="H56" s="149">
        <f>IF($H$5&gt;0,IF('tuot-VKO'!D57&gt;0,IF('tuot-VKO'!F57&gt;0,C56/'tuot-VKO'!D57/'tuot-VKO'!F57*1000, ), ), )</f>
        <v>0</v>
      </c>
      <c r="I56" s="150">
        <f>IF($L$5&gt;0,IF('tuot-VKO'!D57&gt;0,IF('tuot-VKO'!F57&gt;0,E56/SUM('tuot-VKO'!D$11:D57)/'tuot-INFO'!L56*1000, ), ), )</f>
        <v>0</v>
      </c>
      <c r="J56" s="151">
        <f>'tuot-VKO'!G57/10</f>
        <v>0</v>
      </c>
      <c r="K56" s="96" t="str">
        <f t="shared" si="2"/>
        <v>171 - 182</v>
      </c>
      <c r="L56" s="150">
        <f>'tuot-VKO'!L57</f>
        <v>0</v>
      </c>
      <c r="M56" s="57">
        <f t="shared" si="3"/>
        <v>171.3</v>
      </c>
      <c r="N56" s="58">
        <f t="shared" si="4"/>
        <v>181.9</v>
      </c>
      <c r="O56" s="59">
        <f t="shared" si="0"/>
        <v>10.599999999999994</v>
      </c>
      <c r="P56" s="60">
        <f t="shared" si="7"/>
        <v>0</v>
      </c>
      <c r="Q56" s="60">
        <f t="shared" si="7"/>
        <v>0</v>
      </c>
      <c r="R56" s="61">
        <v>1713</v>
      </c>
      <c r="S56" s="61">
        <v>1819</v>
      </c>
      <c r="T56" s="61"/>
      <c r="U56" s="224"/>
      <c r="V56" s="12"/>
      <c r="W56" s="12"/>
      <c r="X56" s="12"/>
      <c r="Y56" s="12"/>
      <c r="Z56" s="12"/>
      <c r="AA56" s="12"/>
      <c r="AB56" s="12"/>
      <c r="AC56" s="12"/>
      <c r="AD56" s="12"/>
    </row>
    <row r="57" spans="1:30" x14ac:dyDescent="0.25">
      <c r="A57" s="145">
        <v>62</v>
      </c>
      <c r="B57" s="146">
        <f>'tuot-INFO'!B57</f>
        <v>9990</v>
      </c>
      <c r="C57" s="147">
        <f>IF('tuot-VKO'!H58&gt;0,'tuot-VKO'!H58,IF('tuot-VKO'!I58&gt;0,'tuot-VKO'!I58*7*B57/1000, ))</f>
        <v>0</v>
      </c>
      <c r="D57" s="146">
        <f>IF('tuot-VKO'!I58&gt;0,'tuot-VKO'!I58,IF('tuot-VKO'!H58&gt;0,'tuot-VKO'!H58*1000/7/B57, ))</f>
        <v>0</v>
      </c>
      <c r="E57" s="146">
        <f>IF(C57&gt;0,SUM(C$10:C57), )</f>
        <v>0</v>
      </c>
      <c r="F57" s="146">
        <f>IF('tuot-VKO'!K58&gt;0,'tuot-VKO'!K58,IF('tuot-VKO'!J58&gt;0,'tuot-VKO'!J58*1000/7/B57, ))</f>
        <v>0</v>
      </c>
      <c r="G57" s="148">
        <f t="shared" si="1"/>
        <v>0</v>
      </c>
      <c r="H57" s="149">
        <f>IF($H$5&gt;0,IF('tuot-VKO'!D58&gt;0,IF('tuot-VKO'!F58&gt;0,C57/'tuot-VKO'!D58/'tuot-VKO'!F58*1000, ), ), )</f>
        <v>0</v>
      </c>
      <c r="I57" s="150">
        <f>IF($L$5&gt;0,IF('tuot-VKO'!D58&gt;0,IF('tuot-VKO'!F58&gt;0,E57/SUM('tuot-VKO'!D$11:D58)/'tuot-INFO'!L57*1000, ), ), )</f>
        <v>0</v>
      </c>
      <c r="J57" s="151">
        <f>'tuot-VKO'!G58/10</f>
        <v>0</v>
      </c>
      <c r="K57" s="96" t="str">
        <f t="shared" si="2"/>
        <v>171 - 182</v>
      </c>
      <c r="L57" s="150">
        <f>'tuot-VKO'!L58</f>
        <v>0</v>
      </c>
      <c r="M57" s="57">
        <f t="shared" si="3"/>
        <v>171.4</v>
      </c>
      <c r="N57" s="58">
        <f t="shared" si="4"/>
        <v>182.1</v>
      </c>
      <c r="O57" s="59">
        <f t="shared" si="0"/>
        <v>10.699999999999989</v>
      </c>
      <c r="P57" s="60">
        <f t="shared" si="7"/>
        <v>0</v>
      </c>
      <c r="Q57" s="60">
        <f t="shared" si="7"/>
        <v>0</v>
      </c>
      <c r="R57" s="61">
        <v>1714</v>
      </c>
      <c r="S57" s="61">
        <v>1821</v>
      </c>
      <c r="T57" s="61"/>
      <c r="U57" s="224"/>
      <c r="V57" s="12"/>
      <c r="W57" s="12"/>
      <c r="X57" s="12"/>
      <c r="Y57" s="12"/>
      <c r="Z57" s="12"/>
      <c r="AA57" s="12"/>
      <c r="AB57" s="12"/>
      <c r="AC57" s="12"/>
      <c r="AD57" s="12"/>
    </row>
    <row r="58" spans="1:30" x14ac:dyDescent="0.25">
      <c r="A58" s="145">
        <v>63</v>
      </c>
      <c r="B58" s="146">
        <f>'tuot-INFO'!B58</f>
        <v>9990</v>
      </c>
      <c r="C58" s="147">
        <f>IF('tuot-VKO'!H59&gt;0,'tuot-VKO'!H59,IF('tuot-VKO'!I59&gt;0,'tuot-VKO'!I59*7*B58/1000, ))</f>
        <v>0</v>
      </c>
      <c r="D58" s="146">
        <f>IF('tuot-VKO'!I59&gt;0,'tuot-VKO'!I59,IF('tuot-VKO'!H59&gt;0,'tuot-VKO'!H59*1000/7/B58, ))</f>
        <v>0</v>
      </c>
      <c r="E58" s="146">
        <f>IF(C58&gt;0,SUM(C$10:C58), )</f>
        <v>0</v>
      </c>
      <c r="F58" s="146">
        <f>IF('tuot-VKO'!K59&gt;0,'tuot-VKO'!K59,IF('tuot-VKO'!J59&gt;0,'tuot-VKO'!J59*1000/7/B58, ))</f>
        <v>0</v>
      </c>
      <c r="G58" s="148">
        <f t="shared" si="1"/>
        <v>0</v>
      </c>
      <c r="H58" s="149">
        <f>IF($H$5&gt;0,IF('tuot-VKO'!D59&gt;0,IF('tuot-VKO'!F59&gt;0,C58/'tuot-VKO'!D59/'tuot-VKO'!F59*1000, ), ), )</f>
        <v>0</v>
      </c>
      <c r="I58" s="150">
        <f>IF($L$5&gt;0,IF('tuot-VKO'!D59&gt;0,IF('tuot-VKO'!F59&gt;0,E58/SUM('tuot-VKO'!D$11:D59)/'tuot-INFO'!L58*1000, ), ), )</f>
        <v>0</v>
      </c>
      <c r="J58" s="151">
        <f>'tuot-VKO'!G59/10</f>
        <v>0</v>
      </c>
      <c r="K58" s="96" t="str">
        <f t="shared" si="2"/>
        <v>172 - 182</v>
      </c>
      <c r="L58" s="150">
        <f>'tuot-VKO'!L59</f>
        <v>0</v>
      </c>
      <c r="M58" s="57">
        <f t="shared" si="3"/>
        <v>171.6</v>
      </c>
      <c r="N58" s="58">
        <f t="shared" si="4"/>
        <v>182.2</v>
      </c>
      <c r="O58" s="59">
        <f t="shared" si="0"/>
        <v>10.599999999999994</v>
      </c>
      <c r="P58" s="60">
        <f t="shared" si="7"/>
        <v>0</v>
      </c>
      <c r="Q58" s="60">
        <f t="shared" si="7"/>
        <v>0</v>
      </c>
      <c r="R58" s="61">
        <v>1716</v>
      </c>
      <c r="S58" s="61">
        <v>1822</v>
      </c>
      <c r="T58" s="61"/>
      <c r="U58" s="224"/>
      <c r="V58" s="12"/>
      <c r="W58" s="12"/>
      <c r="X58" s="12"/>
      <c r="Y58" s="12"/>
      <c r="Z58" s="12"/>
      <c r="AA58" s="12"/>
      <c r="AB58" s="12"/>
      <c r="AC58" s="12"/>
      <c r="AD58" s="12"/>
    </row>
    <row r="59" spans="1:30" x14ac:dyDescent="0.25">
      <c r="A59" s="145">
        <v>64</v>
      </c>
      <c r="B59" s="146">
        <f>'tuot-INFO'!B59</f>
        <v>9990</v>
      </c>
      <c r="C59" s="147">
        <f>IF('tuot-VKO'!H60&gt;0,'tuot-VKO'!H60,IF('tuot-VKO'!I60&gt;0,'tuot-VKO'!I60*7*B59/1000, ))</f>
        <v>0</v>
      </c>
      <c r="D59" s="146">
        <f>IF('tuot-VKO'!I60&gt;0,'tuot-VKO'!I60,IF('tuot-VKO'!H60&gt;0,'tuot-VKO'!H60*1000/7/B59, ))</f>
        <v>0</v>
      </c>
      <c r="E59" s="146">
        <f>IF(C59&gt;0,SUM(C$10:C59), )</f>
        <v>0</v>
      </c>
      <c r="F59" s="146">
        <f>IF('tuot-VKO'!K60&gt;0,'tuot-VKO'!K60,IF('tuot-VKO'!J60&gt;0,'tuot-VKO'!J60*1000/7/B59, ))</f>
        <v>0</v>
      </c>
      <c r="G59" s="148">
        <f t="shared" si="1"/>
        <v>0</v>
      </c>
      <c r="H59" s="149">
        <f>IF($H$5&gt;0,IF('tuot-VKO'!D60&gt;0,IF('tuot-VKO'!F60&gt;0,C59/'tuot-VKO'!D60/'tuot-VKO'!F60*1000, ), ), )</f>
        <v>0</v>
      </c>
      <c r="I59" s="150">
        <f>IF($L$5&gt;0,IF('tuot-VKO'!D60&gt;0,IF('tuot-VKO'!F60&gt;0,E59/SUM('tuot-VKO'!D$11:D60)/'tuot-INFO'!L59*1000, ), ), )</f>
        <v>0</v>
      </c>
      <c r="J59" s="151">
        <f>'tuot-VKO'!G60/10</f>
        <v>0</v>
      </c>
      <c r="K59" s="96" t="str">
        <f t="shared" si="2"/>
        <v>172 - 182</v>
      </c>
      <c r="L59" s="150">
        <f>'tuot-VKO'!L60</f>
        <v>0</v>
      </c>
      <c r="M59" s="57">
        <f t="shared" si="3"/>
        <v>171.7</v>
      </c>
      <c r="N59" s="58">
        <f t="shared" si="4"/>
        <v>182.3</v>
      </c>
      <c r="O59" s="59">
        <f t="shared" si="0"/>
        <v>10.600000000000023</v>
      </c>
      <c r="P59" s="60">
        <f t="shared" ref="P59:Q74" si="8">IF(H59&gt;0,H59,P58)</f>
        <v>0</v>
      </c>
      <c r="Q59" s="60">
        <f t="shared" si="8"/>
        <v>0</v>
      </c>
      <c r="R59" s="61">
        <v>1717</v>
      </c>
      <c r="S59" s="61">
        <v>1823</v>
      </c>
      <c r="T59" s="61"/>
      <c r="U59" s="224"/>
      <c r="V59" s="12"/>
      <c r="W59" s="12"/>
      <c r="X59" s="12"/>
      <c r="Y59" s="12"/>
      <c r="Z59" s="12"/>
      <c r="AA59" s="12"/>
      <c r="AB59" s="12"/>
      <c r="AC59" s="12"/>
      <c r="AD59" s="12"/>
    </row>
    <row r="60" spans="1:30" x14ac:dyDescent="0.25">
      <c r="A60" s="152">
        <v>65</v>
      </c>
      <c r="B60" s="153">
        <f>'tuot-INFO'!B60</f>
        <v>9990</v>
      </c>
      <c r="C60" s="154">
        <f>IF('tuot-VKO'!H61&gt;0,'tuot-VKO'!H61,IF('tuot-VKO'!I61&gt;0,'tuot-VKO'!I61*7*B60/1000, ))</f>
        <v>0</v>
      </c>
      <c r="D60" s="153">
        <f>IF('tuot-VKO'!I61&gt;0,'tuot-VKO'!I61,IF('tuot-VKO'!H61&gt;0,'tuot-VKO'!H61*1000/7/B60, ))</f>
        <v>0</v>
      </c>
      <c r="E60" s="153">
        <f>IF(C60&gt;0,SUM(C$10:C60), )</f>
        <v>0</v>
      </c>
      <c r="F60" s="153">
        <f>IF('tuot-VKO'!K61&gt;0,'tuot-VKO'!K61,IF('tuot-VKO'!J61&gt;0,'tuot-VKO'!J61*1000/7/B60, ))</f>
        <v>0</v>
      </c>
      <c r="G60" s="155">
        <f t="shared" si="1"/>
        <v>0</v>
      </c>
      <c r="H60" s="156">
        <f>IF($H$5&gt;0,IF('tuot-VKO'!D61&gt;0,IF('tuot-VKO'!F61&gt;0,C60/'tuot-VKO'!D61/'tuot-VKO'!F61*1000, ), ), )</f>
        <v>0</v>
      </c>
      <c r="I60" s="157">
        <f>IF($L$5&gt;0,IF('tuot-VKO'!D61&gt;0,IF('tuot-VKO'!F61&gt;0,E60/SUM('tuot-VKO'!D$11:D61)/'tuot-INFO'!L60*1000, ), ), )</f>
        <v>0</v>
      </c>
      <c r="J60" s="158">
        <f>'tuot-VKO'!G61/10</f>
        <v>0</v>
      </c>
      <c r="K60" s="106" t="str">
        <f t="shared" si="2"/>
        <v>172 - 182</v>
      </c>
      <c r="L60" s="157">
        <f>'tuot-VKO'!L61</f>
        <v>0</v>
      </c>
      <c r="M60" s="57">
        <f t="shared" si="3"/>
        <v>171.8</v>
      </c>
      <c r="N60" s="58">
        <f t="shared" si="4"/>
        <v>182.4</v>
      </c>
      <c r="O60" s="59">
        <f t="shared" si="0"/>
        <v>10.599999999999994</v>
      </c>
      <c r="P60" s="60">
        <f t="shared" si="8"/>
        <v>0</v>
      </c>
      <c r="Q60" s="60">
        <f t="shared" si="8"/>
        <v>0</v>
      </c>
      <c r="R60" s="61">
        <v>1718</v>
      </c>
      <c r="S60" s="61">
        <v>1824</v>
      </c>
      <c r="T60" s="61"/>
      <c r="U60" s="224"/>
      <c r="V60" s="12"/>
      <c r="W60" s="12"/>
      <c r="X60" s="12"/>
      <c r="Y60" s="12"/>
      <c r="Z60" s="12"/>
      <c r="AA60" s="12"/>
      <c r="AB60" s="12"/>
      <c r="AC60" s="12"/>
      <c r="AD60" s="12"/>
    </row>
    <row r="61" spans="1:30" x14ac:dyDescent="0.25">
      <c r="A61" s="145">
        <v>66</v>
      </c>
      <c r="B61" s="146">
        <f>'tuot-INFO'!B61</f>
        <v>9990</v>
      </c>
      <c r="C61" s="147">
        <f>IF('tuot-VKO'!H62&gt;0,'tuot-VKO'!H62,IF('tuot-VKO'!I62&gt;0,'tuot-VKO'!I62*7*B61/1000, ))</f>
        <v>0</v>
      </c>
      <c r="D61" s="146">
        <f>IF('tuot-VKO'!I62&gt;0,'tuot-VKO'!I62,IF('tuot-VKO'!H62&gt;0,'tuot-VKO'!H62*1000/7/B61, ))</f>
        <v>0</v>
      </c>
      <c r="E61" s="146">
        <f>IF(C61&gt;0,SUM(C$10:C61), )</f>
        <v>0</v>
      </c>
      <c r="F61" s="146">
        <f>IF('tuot-VKO'!K62&gt;0,'tuot-VKO'!K62,IF('tuot-VKO'!J62&gt;0,'tuot-VKO'!J62*1000/7/B61, ))</f>
        <v>0</v>
      </c>
      <c r="G61" s="148">
        <f t="shared" si="1"/>
        <v>0</v>
      </c>
      <c r="H61" s="149">
        <f>IF($H$5&gt;0,IF('tuot-VKO'!D62&gt;0,IF('tuot-VKO'!F62&gt;0,C61/'tuot-VKO'!D62/'tuot-VKO'!F62*1000, ), ), )</f>
        <v>0</v>
      </c>
      <c r="I61" s="150">
        <f>IF($L$5&gt;0,IF('tuot-VKO'!D62&gt;0,IF('tuot-VKO'!F62&gt;0,E61/SUM('tuot-VKO'!D$11:D62)/'tuot-INFO'!L61*1000, ), ), )</f>
        <v>0</v>
      </c>
      <c r="J61" s="151">
        <f>'tuot-VKO'!G62/10</f>
        <v>0</v>
      </c>
      <c r="K61" s="96" t="str">
        <f t="shared" si="2"/>
        <v>172 - 183</v>
      </c>
      <c r="L61" s="150">
        <f>'tuot-VKO'!L62</f>
        <v>0</v>
      </c>
      <c r="M61" s="57">
        <f t="shared" si="3"/>
        <v>171.9</v>
      </c>
      <c r="N61" s="58">
        <f t="shared" si="4"/>
        <v>182.6</v>
      </c>
      <c r="O61" s="59">
        <f t="shared" si="0"/>
        <v>10.699999999999989</v>
      </c>
      <c r="P61" s="60">
        <f t="shared" si="8"/>
        <v>0</v>
      </c>
      <c r="Q61" s="60">
        <f t="shared" si="8"/>
        <v>0</v>
      </c>
      <c r="R61" s="61">
        <v>1719</v>
      </c>
      <c r="S61" s="61">
        <v>1826</v>
      </c>
      <c r="T61" s="61"/>
      <c r="U61" s="224"/>
      <c r="V61" s="12"/>
      <c r="W61" s="12"/>
      <c r="X61" s="12"/>
      <c r="Y61" s="12"/>
      <c r="Z61" s="12"/>
      <c r="AA61" s="12"/>
      <c r="AB61" s="12"/>
      <c r="AC61" s="12"/>
      <c r="AD61" s="12"/>
    </row>
    <row r="62" spans="1:30" x14ac:dyDescent="0.25">
      <c r="A62" s="145">
        <v>67</v>
      </c>
      <c r="B62" s="146">
        <f>'tuot-INFO'!B62</f>
        <v>9990</v>
      </c>
      <c r="C62" s="147">
        <f>IF('tuot-VKO'!H63&gt;0,'tuot-VKO'!H63,IF('tuot-VKO'!I63&gt;0,'tuot-VKO'!I63*7*B62/1000, ))</f>
        <v>0</v>
      </c>
      <c r="D62" s="146">
        <f>IF('tuot-VKO'!I63&gt;0,'tuot-VKO'!I63,IF('tuot-VKO'!H63&gt;0,'tuot-VKO'!H63*1000/7/B62, ))</f>
        <v>0</v>
      </c>
      <c r="E62" s="146">
        <f>IF(C62&gt;0,SUM(C$10:C62), )</f>
        <v>0</v>
      </c>
      <c r="F62" s="146">
        <f>IF('tuot-VKO'!K63&gt;0,'tuot-VKO'!K63,IF('tuot-VKO'!J63&gt;0,'tuot-VKO'!J63*1000/7/B62, ))</f>
        <v>0</v>
      </c>
      <c r="G62" s="148">
        <f t="shared" si="1"/>
        <v>0</v>
      </c>
      <c r="H62" s="149">
        <f>IF($H$5&gt;0,IF('tuot-VKO'!D63&gt;0,IF('tuot-VKO'!F63&gt;0,C62/'tuot-VKO'!D63/'tuot-VKO'!F63*1000, ), ), )</f>
        <v>0</v>
      </c>
      <c r="I62" s="150">
        <f>IF($L$5&gt;0,IF('tuot-VKO'!D63&gt;0,IF('tuot-VKO'!F63&gt;0,E62/SUM('tuot-VKO'!D$11:D63)/'tuot-INFO'!L62*1000, ), ), )</f>
        <v>0</v>
      </c>
      <c r="J62" s="151">
        <f>'tuot-VKO'!G63/10</f>
        <v>0</v>
      </c>
      <c r="K62" s="96" t="str">
        <f t="shared" si="2"/>
        <v>172 - 183</v>
      </c>
      <c r="L62" s="150">
        <f>'tuot-VKO'!L63</f>
        <v>0</v>
      </c>
      <c r="M62" s="57">
        <f t="shared" si="3"/>
        <v>172.1</v>
      </c>
      <c r="N62" s="58">
        <f t="shared" si="4"/>
        <v>182.7</v>
      </c>
      <c r="O62" s="59">
        <f t="shared" si="0"/>
        <v>10.599999999999994</v>
      </c>
      <c r="P62" s="60">
        <f t="shared" si="8"/>
        <v>0</v>
      </c>
      <c r="Q62" s="60">
        <f t="shared" si="8"/>
        <v>0</v>
      </c>
      <c r="R62" s="61">
        <v>1721</v>
      </c>
      <c r="S62" s="61">
        <v>1827</v>
      </c>
      <c r="T62" s="61"/>
      <c r="U62" s="224"/>
      <c r="V62" s="12"/>
      <c r="W62" s="12"/>
      <c r="X62" s="12"/>
      <c r="Y62" s="12"/>
      <c r="Z62" s="12"/>
      <c r="AA62" s="12"/>
      <c r="AB62" s="12"/>
      <c r="AC62" s="12"/>
      <c r="AD62" s="12"/>
    </row>
    <row r="63" spans="1:30" x14ac:dyDescent="0.25">
      <c r="A63" s="145">
        <v>68</v>
      </c>
      <c r="B63" s="146">
        <f>'tuot-INFO'!B63</f>
        <v>9990</v>
      </c>
      <c r="C63" s="147">
        <f>IF('tuot-VKO'!H64&gt;0,'tuot-VKO'!H64,IF('tuot-VKO'!I64&gt;0,'tuot-VKO'!I64*7*B63/1000, ))</f>
        <v>0</v>
      </c>
      <c r="D63" s="146">
        <f>IF('tuot-VKO'!I64&gt;0,'tuot-VKO'!I64,IF('tuot-VKO'!H64&gt;0,'tuot-VKO'!H64*1000/7/B63, ))</f>
        <v>0</v>
      </c>
      <c r="E63" s="146">
        <f>IF(C63&gt;0,SUM(C$10:C63), )</f>
        <v>0</v>
      </c>
      <c r="F63" s="146">
        <f>IF('tuot-VKO'!K64&gt;0,'tuot-VKO'!K64,IF('tuot-VKO'!J64&gt;0,'tuot-VKO'!J64*1000/7/B63, ))</f>
        <v>0</v>
      </c>
      <c r="G63" s="148">
        <f t="shared" si="1"/>
        <v>0</v>
      </c>
      <c r="H63" s="149">
        <f>IF($H$5&gt;0,IF('tuot-VKO'!D64&gt;0,IF('tuot-VKO'!F64&gt;0,C63/'tuot-VKO'!D64/'tuot-VKO'!F64*1000, ), ), )</f>
        <v>0</v>
      </c>
      <c r="I63" s="150">
        <f>IF($L$5&gt;0,IF('tuot-VKO'!D64&gt;0,IF('tuot-VKO'!F64&gt;0,E63/SUM('tuot-VKO'!D$11:D64)/'tuot-INFO'!L63*1000, ), ), )</f>
        <v>0</v>
      </c>
      <c r="J63" s="151">
        <f>'tuot-VKO'!G64/10</f>
        <v>0</v>
      </c>
      <c r="K63" s="96" t="str">
        <f t="shared" si="2"/>
        <v>172 - 183</v>
      </c>
      <c r="L63" s="150">
        <f>'tuot-VKO'!L64</f>
        <v>0</v>
      </c>
      <c r="M63" s="57">
        <f t="shared" si="3"/>
        <v>172.2</v>
      </c>
      <c r="N63" s="58">
        <f t="shared" si="4"/>
        <v>182.8</v>
      </c>
      <c r="O63" s="59">
        <f t="shared" si="0"/>
        <v>10.600000000000023</v>
      </c>
      <c r="P63" s="60">
        <f t="shared" si="8"/>
        <v>0</v>
      </c>
      <c r="Q63" s="60">
        <f t="shared" si="8"/>
        <v>0</v>
      </c>
      <c r="R63" s="61">
        <v>1722</v>
      </c>
      <c r="S63" s="61">
        <v>1828</v>
      </c>
      <c r="T63" s="61"/>
      <c r="U63" s="224"/>
      <c r="V63" s="12"/>
      <c r="W63" s="12"/>
      <c r="X63" s="12"/>
      <c r="Y63" s="12"/>
      <c r="Z63" s="12"/>
      <c r="AA63" s="12"/>
      <c r="AB63" s="12"/>
      <c r="AC63" s="12"/>
      <c r="AD63" s="12"/>
    </row>
    <row r="64" spans="1:30" x14ac:dyDescent="0.25">
      <c r="A64" s="145">
        <v>69</v>
      </c>
      <c r="B64" s="146">
        <f>'tuot-INFO'!B64</f>
        <v>9990</v>
      </c>
      <c r="C64" s="147">
        <f>IF('tuot-VKO'!H65&gt;0,'tuot-VKO'!H65,IF('tuot-VKO'!I65&gt;0,'tuot-VKO'!I65*7*B64/1000, ))</f>
        <v>0</v>
      </c>
      <c r="D64" s="146">
        <f>IF('tuot-VKO'!I65&gt;0,'tuot-VKO'!I65,IF('tuot-VKO'!H65&gt;0,'tuot-VKO'!H65*1000/7/B64, ))</f>
        <v>0</v>
      </c>
      <c r="E64" s="146">
        <f>IF(C64&gt;0,SUM(C$10:C64), )</f>
        <v>0</v>
      </c>
      <c r="F64" s="146">
        <f>IF('tuot-VKO'!K65&gt;0,'tuot-VKO'!K65,IF('tuot-VKO'!J65&gt;0,'tuot-VKO'!J65*1000/7/B64, ))</f>
        <v>0</v>
      </c>
      <c r="G64" s="148">
        <f t="shared" si="1"/>
        <v>0</v>
      </c>
      <c r="H64" s="149">
        <f>IF($H$5&gt;0,IF('tuot-VKO'!D65&gt;0,IF('tuot-VKO'!F65&gt;0,C64/'tuot-VKO'!D65/'tuot-VKO'!F65*1000, ), ), )</f>
        <v>0</v>
      </c>
      <c r="I64" s="150">
        <f>IF($L$5&gt;0,IF('tuot-VKO'!D65&gt;0,IF('tuot-VKO'!F65&gt;0,E64/SUM('tuot-VKO'!D$11:D65)/'tuot-INFO'!L64*1000, ), ), )</f>
        <v>0</v>
      </c>
      <c r="J64" s="151">
        <f>'tuot-VKO'!G65/10</f>
        <v>0</v>
      </c>
      <c r="K64" s="96" t="str">
        <f t="shared" si="2"/>
        <v>172 - 183</v>
      </c>
      <c r="L64" s="150">
        <f>'tuot-VKO'!L65</f>
        <v>0</v>
      </c>
      <c r="M64" s="57">
        <f t="shared" si="3"/>
        <v>172.3</v>
      </c>
      <c r="N64" s="58">
        <f t="shared" si="4"/>
        <v>183</v>
      </c>
      <c r="O64" s="59">
        <f t="shared" si="0"/>
        <v>10.699999999999989</v>
      </c>
      <c r="P64" s="60">
        <f t="shared" si="8"/>
        <v>0</v>
      </c>
      <c r="Q64" s="60">
        <f t="shared" si="8"/>
        <v>0</v>
      </c>
      <c r="R64" s="61">
        <v>1723</v>
      </c>
      <c r="S64" s="61">
        <v>1830</v>
      </c>
      <c r="T64" s="61"/>
      <c r="U64" s="224"/>
      <c r="V64" s="12"/>
      <c r="W64" s="12"/>
      <c r="X64" s="12"/>
      <c r="Y64" s="12"/>
      <c r="Z64" s="12"/>
      <c r="AA64" s="12"/>
      <c r="AB64" s="12"/>
      <c r="AC64" s="12"/>
      <c r="AD64" s="12"/>
    </row>
    <row r="65" spans="1:30" x14ac:dyDescent="0.25">
      <c r="A65" s="152">
        <v>70</v>
      </c>
      <c r="B65" s="153">
        <f>'tuot-INFO'!B65</f>
        <v>9990</v>
      </c>
      <c r="C65" s="154">
        <f>IF('tuot-VKO'!H66&gt;0,'tuot-VKO'!H66,IF('tuot-VKO'!I66&gt;0,'tuot-VKO'!I66*7*B65/1000, ))</f>
        <v>0</v>
      </c>
      <c r="D65" s="153">
        <f>IF('tuot-VKO'!I66&gt;0,'tuot-VKO'!I66,IF('tuot-VKO'!H66&gt;0,'tuot-VKO'!H66*1000/7/B65, ))</f>
        <v>0</v>
      </c>
      <c r="E65" s="153">
        <f>IF(C65&gt;0,SUM(C$10:C65), )</f>
        <v>0</v>
      </c>
      <c r="F65" s="153">
        <f>IF('tuot-VKO'!K66&gt;0,'tuot-VKO'!K66,IF('tuot-VKO'!J66&gt;0,'tuot-VKO'!J66*1000/7/B65, ))</f>
        <v>0</v>
      </c>
      <c r="G65" s="155">
        <f t="shared" si="1"/>
        <v>0</v>
      </c>
      <c r="H65" s="156">
        <f>IF($H$5&gt;0,IF('tuot-VKO'!D66&gt;0,IF('tuot-VKO'!F66&gt;0,C65/'tuot-VKO'!D66/'tuot-VKO'!F66*1000, ), ), )</f>
        <v>0</v>
      </c>
      <c r="I65" s="157">
        <f>IF($L$5&gt;0,IF('tuot-VKO'!D66&gt;0,IF('tuot-VKO'!F66&gt;0,E65/SUM('tuot-VKO'!D$11:D66)/'tuot-INFO'!L65*1000, ), ), )</f>
        <v>0</v>
      </c>
      <c r="J65" s="158">
        <f>'tuot-VKO'!G66/10</f>
        <v>0</v>
      </c>
      <c r="K65" s="106" t="str">
        <f t="shared" si="2"/>
        <v>172 - 183</v>
      </c>
      <c r="L65" s="157">
        <f>'tuot-VKO'!L66</f>
        <v>0</v>
      </c>
      <c r="M65" s="57">
        <f t="shared" si="3"/>
        <v>172.4</v>
      </c>
      <c r="N65" s="58">
        <f t="shared" si="4"/>
        <v>183.1</v>
      </c>
      <c r="O65" s="59">
        <f t="shared" si="0"/>
        <v>10.699999999999989</v>
      </c>
      <c r="P65" s="60">
        <f t="shared" si="8"/>
        <v>0</v>
      </c>
      <c r="Q65" s="60">
        <f t="shared" si="8"/>
        <v>0</v>
      </c>
      <c r="R65" s="61">
        <v>1724</v>
      </c>
      <c r="S65" s="61">
        <v>1831</v>
      </c>
      <c r="T65" s="61"/>
      <c r="U65" s="224"/>
      <c r="V65" s="12"/>
      <c r="W65" s="12"/>
      <c r="X65" s="12"/>
      <c r="Y65" s="12"/>
      <c r="Z65" s="12"/>
      <c r="AA65" s="12"/>
      <c r="AB65" s="12"/>
      <c r="AC65" s="12"/>
      <c r="AD65" s="12"/>
    </row>
    <row r="66" spans="1:30" x14ac:dyDescent="0.25">
      <c r="A66" s="145">
        <v>71</v>
      </c>
      <c r="B66" s="146">
        <f>'tuot-INFO'!B66</f>
        <v>9990</v>
      </c>
      <c r="C66" s="147">
        <f>IF('tuot-VKO'!H67&gt;0,'tuot-VKO'!H67,IF('tuot-VKO'!I67&gt;0,'tuot-VKO'!I67*7*B66/1000, ))</f>
        <v>0</v>
      </c>
      <c r="D66" s="146">
        <f>IF('tuot-VKO'!I67&gt;0,'tuot-VKO'!I67,IF('tuot-VKO'!H67&gt;0,'tuot-VKO'!H67*1000/7/B66, ))</f>
        <v>0</v>
      </c>
      <c r="E66" s="146">
        <f>IF(C66&gt;0,SUM(C$10:C66), )</f>
        <v>0</v>
      </c>
      <c r="F66" s="146">
        <f>IF('tuot-VKO'!K67&gt;0,'tuot-VKO'!K67,IF('tuot-VKO'!J67&gt;0,'tuot-VKO'!J67*1000/7/B66, ))</f>
        <v>0</v>
      </c>
      <c r="G66" s="148">
        <f t="shared" si="1"/>
        <v>0</v>
      </c>
      <c r="H66" s="149">
        <f>IF($H$5&gt;0,IF('tuot-VKO'!D67&gt;0,IF('tuot-VKO'!F67&gt;0,C66/'tuot-VKO'!D67/'tuot-VKO'!F67*1000, ), ), )</f>
        <v>0</v>
      </c>
      <c r="I66" s="150">
        <f>IF($L$5&gt;0,IF('tuot-VKO'!D67&gt;0,IF('tuot-VKO'!F67&gt;0,E66/SUM('tuot-VKO'!D$11:D67)/'tuot-INFO'!L66*1000, ), ), )</f>
        <v>0</v>
      </c>
      <c r="J66" s="151">
        <f>'tuot-VKO'!G67/10</f>
        <v>0</v>
      </c>
      <c r="K66" s="96" t="str">
        <f t="shared" si="2"/>
        <v>173 - 183</v>
      </c>
      <c r="L66" s="150">
        <f>'tuot-VKO'!L67</f>
        <v>0</v>
      </c>
      <c r="M66" s="57">
        <f t="shared" si="3"/>
        <v>172.5</v>
      </c>
      <c r="N66" s="58">
        <f t="shared" si="4"/>
        <v>183.2</v>
      </c>
      <c r="O66" s="59">
        <f t="shared" si="0"/>
        <v>10.699999999999989</v>
      </c>
      <c r="P66" s="60">
        <f t="shared" si="8"/>
        <v>0</v>
      </c>
      <c r="Q66" s="60">
        <f t="shared" si="8"/>
        <v>0</v>
      </c>
      <c r="R66" s="61">
        <v>1725</v>
      </c>
      <c r="S66" s="61">
        <v>1832</v>
      </c>
      <c r="T66" s="61"/>
      <c r="U66" s="224"/>
      <c r="V66" s="12"/>
      <c r="W66" s="12"/>
      <c r="X66" s="12"/>
      <c r="Y66" s="12"/>
      <c r="Z66" s="12"/>
      <c r="AA66" s="12"/>
      <c r="AB66" s="12"/>
      <c r="AC66" s="12"/>
      <c r="AD66" s="12"/>
    </row>
    <row r="67" spans="1:30" x14ac:dyDescent="0.25">
      <c r="A67" s="145">
        <v>72</v>
      </c>
      <c r="B67" s="146">
        <f>'tuot-INFO'!B67</f>
        <v>9990</v>
      </c>
      <c r="C67" s="147">
        <f>IF('tuot-VKO'!H68&gt;0,'tuot-VKO'!H68,IF('tuot-VKO'!I68&gt;0,'tuot-VKO'!I68*7*B67/1000, ))</f>
        <v>0</v>
      </c>
      <c r="D67" s="146">
        <f>IF('tuot-VKO'!I68&gt;0,'tuot-VKO'!I68,IF('tuot-VKO'!H68&gt;0,'tuot-VKO'!H68*1000/7/B67, ))</f>
        <v>0</v>
      </c>
      <c r="E67" s="146">
        <f>IF(C67&gt;0,SUM(C$10:C67), )</f>
        <v>0</v>
      </c>
      <c r="F67" s="146">
        <f>IF('tuot-VKO'!K68&gt;0,'tuot-VKO'!K68,IF('tuot-VKO'!J68&gt;0,'tuot-VKO'!J68*1000/7/B67, ))</f>
        <v>0</v>
      </c>
      <c r="G67" s="148">
        <f t="shared" si="1"/>
        <v>0</v>
      </c>
      <c r="H67" s="149">
        <f>IF($H$5&gt;0,IF('tuot-VKO'!D68&gt;0,IF('tuot-VKO'!F68&gt;0,C67/'tuot-VKO'!D68/'tuot-VKO'!F68*1000, ), ), )</f>
        <v>0</v>
      </c>
      <c r="I67" s="150">
        <f>IF($L$5&gt;0,IF('tuot-VKO'!D68&gt;0,IF('tuot-VKO'!F68&gt;0,E67/SUM('tuot-VKO'!D$11:D68)/'tuot-INFO'!L67*1000, ), ), )</f>
        <v>0</v>
      </c>
      <c r="J67" s="151">
        <f>'tuot-VKO'!G68/10</f>
        <v>0</v>
      </c>
      <c r="K67" s="96" t="str">
        <f t="shared" si="2"/>
        <v>173 - 183</v>
      </c>
      <c r="L67" s="150">
        <f>'tuot-VKO'!L68</f>
        <v>0</v>
      </c>
      <c r="M67" s="57">
        <f t="shared" si="3"/>
        <v>172.7</v>
      </c>
      <c r="N67" s="58">
        <f t="shared" si="4"/>
        <v>183.3</v>
      </c>
      <c r="O67" s="59">
        <f t="shared" si="0"/>
        <v>10.600000000000023</v>
      </c>
      <c r="P67" s="60">
        <f t="shared" si="8"/>
        <v>0</v>
      </c>
      <c r="Q67" s="60">
        <f t="shared" si="8"/>
        <v>0</v>
      </c>
      <c r="R67" s="61">
        <v>1727</v>
      </c>
      <c r="S67" s="61">
        <v>1833</v>
      </c>
      <c r="T67" s="61"/>
      <c r="U67" s="224"/>
      <c r="V67" s="12"/>
      <c r="W67" s="12"/>
      <c r="X67" s="12"/>
      <c r="Y67" s="12"/>
      <c r="Z67" s="12"/>
      <c r="AA67" s="12"/>
      <c r="AB67" s="12"/>
      <c r="AC67" s="12"/>
      <c r="AD67" s="12"/>
    </row>
    <row r="68" spans="1:30" x14ac:dyDescent="0.25">
      <c r="A68" s="145">
        <v>73</v>
      </c>
      <c r="B68" s="146">
        <f>'tuot-INFO'!B68</f>
        <v>9990</v>
      </c>
      <c r="C68" s="147">
        <f>IF('tuot-VKO'!H69&gt;0,'tuot-VKO'!H69,IF('tuot-VKO'!I69&gt;0,'tuot-VKO'!I69*7*B68/1000, ))</f>
        <v>0</v>
      </c>
      <c r="D68" s="146">
        <f>IF('tuot-VKO'!I69&gt;0,'tuot-VKO'!I69,IF('tuot-VKO'!H69&gt;0,'tuot-VKO'!H69*1000/7/B68, ))</f>
        <v>0</v>
      </c>
      <c r="E68" s="146">
        <f>IF(C68&gt;0,SUM(C$10:C68), )</f>
        <v>0</v>
      </c>
      <c r="F68" s="146">
        <f>IF('tuot-VKO'!K69&gt;0,'tuot-VKO'!K69,IF('tuot-VKO'!J69&gt;0,'tuot-VKO'!J69*1000/7/B68, ))</f>
        <v>0</v>
      </c>
      <c r="G68" s="148">
        <f t="shared" si="1"/>
        <v>0</v>
      </c>
      <c r="H68" s="149">
        <f>IF($H$5&gt;0,IF('tuot-VKO'!D69&gt;0,IF('tuot-VKO'!F69&gt;0,C68/'tuot-VKO'!D69/'tuot-VKO'!F69*1000, ), ), )</f>
        <v>0</v>
      </c>
      <c r="I68" s="150">
        <f>IF($L$5&gt;0,IF('tuot-VKO'!D69&gt;0,IF('tuot-VKO'!F69&gt;0,E68/SUM('tuot-VKO'!D$11:D69)/'tuot-INFO'!L68*1000, ), ), )</f>
        <v>0</v>
      </c>
      <c r="J68" s="151">
        <f>'tuot-VKO'!G69/10</f>
        <v>0</v>
      </c>
      <c r="K68" s="96" t="str">
        <f t="shared" si="2"/>
        <v>173 - 183</v>
      </c>
      <c r="L68" s="150">
        <f>'tuot-VKO'!L69</f>
        <v>0</v>
      </c>
      <c r="M68" s="57">
        <f t="shared" si="3"/>
        <v>172.8</v>
      </c>
      <c r="N68" s="58">
        <f t="shared" si="4"/>
        <v>183.4</v>
      </c>
      <c r="O68" s="59">
        <f t="shared" si="0"/>
        <v>10.599999999999994</v>
      </c>
      <c r="P68" s="60">
        <f t="shared" si="8"/>
        <v>0</v>
      </c>
      <c r="Q68" s="60">
        <f t="shared" si="8"/>
        <v>0</v>
      </c>
      <c r="R68" s="61">
        <v>1728</v>
      </c>
      <c r="S68" s="61">
        <v>1834</v>
      </c>
      <c r="T68" s="61"/>
      <c r="U68" s="224"/>
      <c r="V68" s="12"/>
      <c r="W68" s="12"/>
      <c r="X68" s="12"/>
      <c r="Y68" s="12"/>
      <c r="Z68" s="12"/>
      <c r="AA68" s="12"/>
      <c r="AB68" s="12"/>
      <c r="AC68" s="12"/>
      <c r="AD68" s="12"/>
    </row>
    <row r="69" spans="1:30" x14ac:dyDescent="0.25">
      <c r="A69" s="145">
        <v>74</v>
      </c>
      <c r="B69" s="146">
        <f>'tuot-INFO'!B69</f>
        <v>9990</v>
      </c>
      <c r="C69" s="147">
        <f>IF('tuot-VKO'!H70&gt;0,'tuot-VKO'!H70,IF('tuot-VKO'!I70&gt;0,'tuot-VKO'!I70*7*B69/1000, ))</f>
        <v>0</v>
      </c>
      <c r="D69" s="146">
        <f>IF('tuot-VKO'!I70&gt;0,'tuot-VKO'!I70,IF('tuot-VKO'!H70&gt;0,'tuot-VKO'!H70*1000/7/B69, ))</f>
        <v>0</v>
      </c>
      <c r="E69" s="146">
        <f>IF(C69&gt;0,SUM(C$10:C69), )</f>
        <v>0</v>
      </c>
      <c r="F69" s="146">
        <f>IF('tuot-VKO'!K70&gt;0,'tuot-VKO'!K70,IF('tuot-VKO'!J70&gt;0,'tuot-VKO'!J70*1000/7/B69, ))</f>
        <v>0</v>
      </c>
      <c r="G69" s="148">
        <f t="shared" si="1"/>
        <v>0</v>
      </c>
      <c r="H69" s="149">
        <f>IF($H$5&gt;0,IF('tuot-VKO'!D70&gt;0,IF('tuot-VKO'!F70&gt;0,C69/'tuot-VKO'!D70/'tuot-VKO'!F70*1000, ), ), )</f>
        <v>0</v>
      </c>
      <c r="I69" s="150">
        <f>IF($L$5&gt;0,IF('tuot-VKO'!D70&gt;0,IF('tuot-VKO'!F70&gt;0,E69/SUM('tuot-VKO'!D$11:D70)/'tuot-INFO'!L69*1000, ), ), )</f>
        <v>0</v>
      </c>
      <c r="J69" s="151">
        <f>'tuot-VKO'!G70/10</f>
        <v>0</v>
      </c>
      <c r="K69" s="96" t="str">
        <f t="shared" si="2"/>
        <v>173 - 184</v>
      </c>
      <c r="L69" s="150">
        <f>'tuot-VKO'!L70</f>
        <v>0</v>
      </c>
      <c r="M69" s="57">
        <f t="shared" si="3"/>
        <v>172.9</v>
      </c>
      <c r="N69" s="58">
        <f t="shared" si="4"/>
        <v>183.5</v>
      </c>
      <c r="O69" s="59">
        <f t="shared" si="0"/>
        <v>10.599999999999994</v>
      </c>
      <c r="P69" s="60">
        <f t="shared" si="8"/>
        <v>0</v>
      </c>
      <c r="Q69" s="60">
        <f t="shared" si="8"/>
        <v>0</v>
      </c>
      <c r="R69" s="61">
        <v>1729</v>
      </c>
      <c r="S69" s="61">
        <v>1835</v>
      </c>
      <c r="T69" s="61"/>
      <c r="U69" s="224"/>
      <c r="V69" s="12"/>
      <c r="W69" s="12"/>
      <c r="X69" s="12"/>
      <c r="Y69" s="12"/>
      <c r="Z69" s="12"/>
      <c r="AA69" s="12"/>
      <c r="AB69" s="12"/>
      <c r="AC69" s="12"/>
      <c r="AD69" s="12"/>
    </row>
    <row r="70" spans="1:30" x14ac:dyDescent="0.25">
      <c r="A70" s="152">
        <v>75</v>
      </c>
      <c r="B70" s="153">
        <f>'tuot-INFO'!B70</f>
        <v>9990</v>
      </c>
      <c r="C70" s="154">
        <f>IF('tuot-VKO'!H71&gt;0,'tuot-VKO'!H71,IF('tuot-VKO'!I71&gt;0,'tuot-VKO'!I71*7*B70/1000, ))</f>
        <v>0</v>
      </c>
      <c r="D70" s="153">
        <f>IF('tuot-VKO'!I71&gt;0,'tuot-VKO'!I71,IF('tuot-VKO'!H71&gt;0,'tuot-VKO'!H71*1000/7/B70, ))</f>
        <v>0</v>
      </c>
      <c r="E70" s="153">
        <f>IF(C70&gt;0,SUM(C$10:C70), )</f>
        <v>0</v>
      </c>
      <c r="F70" s="153">
        <f>IF('tuot-VKO'!K71&gt;0,'tuot-VKO'!K71,IF('tuot-VKO'!J71&gt;0,'tuot-VKO'!J71*1000/7/B70, ))</f>
        <v>0</v>
      </c>
      <c r="G70" s="155">
        <f t="shared" si="1"/>
        <v>0</v>
      </c>
      <c r="H70" s="156">
        <f>IF($H$5&gt;0,IF('tuot-VKO'!D71&gt;0,IF('tuot-VKO'!F71&gt;0,C70/'tuot-VKO'!D71/'tuot-VKO'!F71*1000, ), ), )</f>
        <v>0</v>
      </c>
      <c r="I70" s="157">
        <f>IF($L$5&gt;0,IF('tuot-VKO'!D71&gt;0,IF('tuot-VKO'!F71&gt;0,E70/SUM('tuot-VKO'!D$11:D71)/'tuot-INFO'!L70*1000, ), ), )</f>
        <v>0</v>
      </c>
      <c r="J70" s="158">
        <f>'tuot-VKO'!G71/10</f>
        <v>0</v>
      </c>
      <c r="K70" s="106" t="str">
        <f t="shared" si="2"/>
        <v>173 - 184</v>
      </c>
      <c r="L70" s="157">
        <f>'tuot-VKO'!L71</f>
        <v>0</v>
      </c>
      <c r="M70" s="57">
        <f t="shared" si="3"/>
        <v>173</v>
      </c>
      <c r="N70" s="58">
        <f t="shared" si="4"/>
        <v>183.6</v>
      </c>
      <c r="O70" s="59">
        <f t="shared" si="0"/>
        <v>10.599999999999994</v>
      </c>
      <c r="P70" s="60">
        <f t="shared" si="8"/>
        <v>0</v>
      </c>
      <c r="Q70" s="60">
        <f t="shared" si="8"/>
        <v>0</v>
      </c>
      <c r="R70" s="61">
        <v>1730</v>
      </c>
      <c r="S70" s="61">
        <v>1836</v>
      </c>
      <c r="T70" s="61"/>
      <c r="U70" s="224"/>
      <c r="V70" s="12"/>
      <c r="W70" s="12"/>
      <c r="X70" s="12"/>
      <c r="Y70" s="12"/>
      <c r="Z70" s="12"/>
      <c r="AA70" s="12"/>
      <c r="AB70" s="12"/>
      <c r="AC70" s="12"/>
      <c r="AD70" s="12"/>
    </row>
    <row r="71" spans="1:30" x14ac:dyDescent="0.25">
      <c r="A71" s="145">
        <v>76</v>
      </c>
      <c r="B71" s="146">
        <f>'tuot-INFO'!B71</f>
        <v>9990</v>
      </c>
      <c r="C71" s="147">
        <f>IF('tuot-VKO'!H72&gt;0,'tuot-VKO'!H72,IF('tuot-VKO'!I72&gt;0,'tuot-VKO'!I72*7*B71/1000, ))</f>
        <v>0</v>
      </c>
      <c r="D71" s="146">
        <f>IF('tuot-VKO'!I72&gt;0,'tuot-VKO'!I72,IF('tuot-VKO'!H72&gt;0,'tuot-VKO'!H72*1000/7/B71, ))</f>
        <v>0</v>
      </c>
      <c r="E71" s="146">
        <f>IF(C71&gt;0,SUM(C$10:C71), )</f>
        <v>0</v>
      </c>
      <c r="F71" s="146">
        <f>IF('tuot-VKO'!K72&gt;0,'tuot-VKO'!K72,IF('tuot-VKO'!J72&gt;0,'tuot-VKO'!J72*1000/7/B71, ))</f>
        <v>0</v>
      </c>
      <c r="G71" s="148">
        <f t="shared" si="1"/>
        <v>0</v>
      </c>
      <c r="H71" s="149">
        <f>IF($H$5&gt;0,IF('tuot-VKO'!D72&gt;0,IF('tuot-VKO'!F72&gt;0,C71/'tuot-VKO'!D72/'tuot-VKO'!F72*1000, ), ), )</f>
        <v>0</v>
      </c>
      <c r="I71" s="150">
        <f>IF($L$5&gt;0,IF('tuot-VKO'!D72&gt;0,IF('tuot-VKO'!F72&gt;0,E71/SUM('tuot-VKO'!D$11:D72)/'tuot-INFO'!L71*1000, ), ), )</f>
        <v>0</v>
      </c>
      <c r="J71" s="151">
        <f>'tuot-VKO'!G72/10</f>
        <v>0</v>
      </c>
      <c r="K71" s="96" t="str">
        <f t="shared" si="2"/>
        <v>173 - 184</v>
      </c>
      <c r="L71" s="150">
        <f>'tuot-VKO'!L72</f>
        <v>0</v>
      </c>
      <c r="M71" s="57">
        <f t="shared" si="3"/>
        <v>173</v>
      </c>
      <c r="N71" s="58">
        <f t="shared" si="4"/>
        <v>183.8</v>
      </c>
      <c r="O71" s="59">
        <f t="shared" si="0"/>
        <v>10.800000000000011</v>
      </c>
      <c r="P71" s="60">
        <f t="shared" si="8"/>
        <v>0</v>
      </c>
      <c r="Q71" s="60">
        <f t="shared" si="8"/>
        <v>0</v>
      </c>
      <c r="R71" s="61">
        <v>1730</v>
      </c>
      <c r="S71" s="61">
        <v>1838</v>
      </c>
      <c r="T71" s="61"/>
      <c r="U71" s="224"/>
      <c r="V71" s="12"/>
      <c r="W71" s="12"/>
      <c r="X71" s="12"/>
      <c r="Y71" s="12"/>
      <c r="Z71" s="12"/>
      <c r="AA71" s="12"/>
      <c r="AB71" s="12"/>
      <c r="AC71" s="12"/>
      <c r="AD71" s="12"/>
    </row>
    <row r="72" spans="1:30" x14ac:dyDescent="0.25">
      <c r="A72" s="145">
        <v>77</v>
      </c>
      <c r="B72" s="146">
        <f>'tuot-INFO'!B72</f>
        <v>9990</v>
      </c>
      <c r="C72" s="147">
        <f>IF('tuot-VKO'!H73&gt;0,'tuot-VKO'!H73,IF('tuot-VKO'!I73&gt;0,'tuot-VKO'!I73*7*B72/1000, ))</f>
        <v>0</v>
      </c>
      <c r="D72" s="146">
        <f>IF('tuot-VKO'!I73&gt;0,'tuot-VKO'!I73,IF('tuot-VKO'!H73&gt;0,'tuot-VKO'!H73*1000/7/B72, ))</f>
        <v>0</v>
      </c>
      <c r="E72" s="146">
        <f>IF(C72&gt;0,SUM(C$10:C72), )</f>
        <v>0</v>
      </c>
      <c r="F72" s="146">
        <f>IF('tuot-VKO'!K73&gt;0,'tuot-VKO'!K73,IF('tuot-VKO'!J73&gt;0,'tuot-VKO'!J73*1000/7/B72, ))</f>
        <v>0</v>
      </c>
      <c r="G72" s="148">
        <f t="shared" si="1"/>
        <v>0</v>
      </c>
      <c r="H72" s="149">
        <f>IF($H$5&gt;0,IF('tuot-VKO'!D73&gt;0,IF('tuot-VKO'!F73&gt;0,C72/'tuot-VKO'!D73/'tuot-VKO'!F73*1000, ), ), )</f>
        <v>0</v>
      </c>
      <c r="I72" s="150">
        <f>IF($L$5&gt;0,IF('tuot-VKO'!D73&gt;0,IF('tuot-VKO'!F73&gt;0,E72/SUM('tuot-VKO'!D$11:D73)/'tuot-INFO'!L72*1000, ), ), )</f>
        <v>0</v>
      </c>
      <c r="J72" s="151">
        <f>'tuot-VKO'!G73/10</f>
        <v>0</v>
      </c>
      <c r="K72" s="96" t="str">
        <f t="shared" si="2"/>
        <v>173 - 184</v>
      </c>
      <c r="L72" s="150">
        <f>'tuot-VKO'!L73</f>
        <v>0</v>
      </c>
      <c r="M72" s="57">
        <f t="shared" si="3"/>
        <v>173.1</v>
      </c>
      <c r="N72" s="58">
        <f t="shared" si="4"/>
        <v>183.9</v>
      </c>
      <c r="O72" s="59">
        <f t="shared" si="0"/>
        <v>10.800000000000011</v>
      </c>
      <c r="P72" s="60">
        <f t="shared" si="8"/>
        <v>0</v>
      </c>
      <c r="Q72" s="60">
        <f t="shared" si="8"/>
        <v>0</v>
      </c>
      <c r="R72" s="61">
        <v>1731</v>
      </c>
      <c r="S72" s="61">
        <v>1839</v>
      </c>
      <c r="T72" s="61"/>
      <c r="U72" s="224"/>
      <c r="V72" s="12"/>
      <c r="W72" s="12"/>
      <c r="X72" s="12"/>
      <c r="Y72" s="12"/>
      <c r="Z72" s="12"/>
      <c r="AA72" s="12"/>
      <c r="AB72" s="12"/>
      <c r="AC72" s="12"/>
      <c r="AD72" s="12"/>
    </row>
    <row r="73" spans="1:30" x14ac:dyDescent="0.25">
      <c r="A73" s="145">
        <v>78</v>
      </c>
      <c r="B73" s="146">
        <f>'tuot-INFO'!B73</f>
        <v>9990</v>
      </c>
      <c r="C73" s="147">
        <f>IF('tuot-VKO'!H74&gt;0,'tuot-VKO'!H74,IF('tuot-VKO'!I74&gt;0,'tuot-VKO'!I74*7*B73/1000, ))</f>
        <v>0</v>
      </c>
      <c r="D73" s="146">
        <f>IF('tuot-VKO'!I74&gt;0,'tuot-VKO'!I74,IF('tuot-VKO'!H74&gt;0,'tuot-VKO'!H74*1000/7/B73, ))</f>
        <v>0</v>
      </c>
      <c r="E73" s="146">
        <f>IF(C73&gt;0,SUM(C$10:C73), )</f>
        <v>0</v>
      </c>
      <c r="F73" s="146">
        <f>IF('tuot-VKO'!K74&gt;0,'tuot-VKO'!K74,IF('tuot-VKO'!J74&gt;0,'tuot-VKO'!J74*1000/7/B73, ))</f>
        <v>0</v>
      </c>
      <c r="G73" s="148">
        <f t="shared" si="1"/>
        <v>0</v>
      </c>
      <c r="H73" s="149">
        <f>IF($H$5&gt;0,IF('tuot-VKO'!D74&gt;0,IF('tuot-VKO'!F74&gt;0,C73/'tuot-VKO'!D74/'tuot-VKO'!F74*1000, ), ), )</f>
        <v>0</v>
      </c>
      <c r="I73" s="150">
        <f>IF($L$5&gt;0,IF('tuot-VKO'!D74&gt;0,IF('tuot-VKO'!F74&gt;0,E73/SUM('tuot-VKO'!D$11:D74)/'tuot-INFO'!L73*1000, ), ), )</f>
        <v>0</v>
      </c>
      <c r="J73" s="151">
        <f>'tuot-VKO'!G74/10</f>
        <v>0</v>
      </c>
      <c r="K73" s="96" t="str">
        <f t="shared" si="2"/>
        <v>173 - 184</v>
      </c>
      <c r="L73" s="150">
        <f>'tuot-VKO'!L74</f>
        <v>0</v>
      </c>
      <c r="M73" s="57">
        <f t="shared" si="3"/>
        <v>173.2</v>
      </c>
      <c r="N73" s="58">
        <f t="shared" si="4"/>
        <v>184</v>
      </c>
      <c r="O73" s="59">
        <f t="shared" si="0"/>
        <v>10.800000000000011</v>
      </c>
      <c r="P73" s="60">
        <f t="shared" si="8"/>
        <v>0</v>
      </c>
      <c r="Q73" s="60">
        <f t="shared" si="8"/>
        <v>0</v>
      </c>
      <c r="R73" s="61">
        <v>1732</v>
      </c>
      <c r="S73" s="61">
        <v>1840</v>
      </c>
      <c r="T73" s="61"/>
      <c r="U73" s="224"/>
      <c r="V73" s="12"/>
      <c r="W73" s="12"/>
      <c r="X73" s="12"/>
      <c r="Y73" s="12"/>
      <c r="Z73" s="12"/>
      <c r="AA73" s="12"/>
      <c r="AB73" s="12"/>
      <c r="AC73" s="12"/>
      <c r="AD73" s="12"/>
    </row>
    <row r="74" spans="1:30" x14ac:dyDescent="0.25">
      <c r="A74" s="145">
        <v>79</v>
      </c>
      <c r="B74" s="146">
        <f>'tuot-INFO'!B74</f>
        <v>9990</v>
      </c>
      <c r="C74" s="147">
        <f>IF('tuot-VKO'!H75&gt;0,'tuot-VKO'!H75,IF('tuot-VKO'!I75&gt;0,'tuot-VKO'!I75*7*B74/1000, ))</f>
        <v>0</v>
      </c>
      <c r="D74" s="146">
        <f>IF('tuot-VKO'!I75&gt;0,'tuot-VKO'!I75,IF('tuot-VKO'!H75&gt;0,'tuot-VKO'!H75*1000/7/B74, ))</f>
        <v>0</v>
      </c>
      <c r="E74" s="146">
        <f>IF(C74&gt;0,SUM(C$10:C74), )</f>
        <v>0</v>
      </c>
      <c r="F74" s="146">
        <f>IF('tuot-VKO'!K75&gt;0,'tuot-VKO'!K75,IF('tuot-VKO'!J75&gt;0,'tuot-VKO'!J75*1000/7/B74, ))</f>
        <v>0</v>
      </c>
      <c r="G74" s="148">
        <f t="shared" si="1"/>
        <v>0</v>
      </c>
      <c r="H74" s="149">
        <f>IF($H$5&gt;0,IF('tuot-VKO'!D75&gt;0,IF('tuot-VKO'!F75&gt;0,C74/'tuot-VKO'!D75/'tuot-VKO'!F75*1000, ), ), )</f>
        <v>0</v>
      </c>
      <c r="I74" s="150">
        <f>IF($L$5&gt;0,IF('tuot-VKO'!D75&gt;0,IF('tuot-VKO'!F75&gt;0,E74/SUM('tuot-VKO'!D$11:D75)/'tuot-INFO'!L74*1000, ), ), )</f>
        <v>0</v>
      </c>
      <c r="J74" s="151">
        <f>'tuot-VKO'!G75/10</f>
        <v>0</v>
      </c>
      <c r="K74" s="96" t="str">
        <f t="shared" si="2"/>
        <v>173 - 184</v>
      </c>
      <c r="L74" s="150">
        <f>'tuot-VKO'!L75</f>
        <v>0</v>
      </c>
      <c r="M74" s="57">
        <f t="shared" si="3"/>
        <v>173.3</v>
      </c>
      <c r="N74" s="58">
        <f t="shared" si="4"/>
        <v>184.1</v>
      </c>
      <c r="O74" s="59">
        <f t="shared" ref="O74:O115" si="9">N74-M74</f>
        <v>10.799999999999983</v>
      </c>
      <c r="P74" s="60">
        <f t="shared" si="8"/>
        <v>0</v>
      </c>
      <c r="Q74" s="60">
        <f t="shared" si="8"/>
        <v>0</v>
      </c>
      <c r="R74" s="61">
        <v>1733</v>
      </c>
      <c r="S74" s="61">
        <v>1841</v>
      </c>
      <c r="T74" s="61"/>
      <c r="U74" s="224"/>
      <c r="V74" s="12"/>
      <c r="W74" s="12"/>
      <c r="X74" s="12"/>
      <c r="Y74" s="12"/>
      <c r="Z74" s="12"/>
      <c r="AA74" s="12"/>
      <c r="AB74" s="12"/>
      <c r="AC74" s="12"/>
      <c r="AD74" s="12"/>
    </row>
    <row r="75" spans="1:30" x14ac:dyDescent="0.25">
      <c r="A75" s="152">
        <v>80</v>
      </c>
      <c r="B75" s="153">
        <f>'tuot-INFO'!B75</f>
        <v>9990</v>
      </c>
      <c r="C75" s="154">
        <f>IF('tuot-VKO'!H76&gt;0,'tuot-VKO'!H76,IF('tuot-VKO'!I76&gt;0,'tuot-VKO'!I76*7*B75/1000, ))</f>
        <v>0</v>
      </c>
      <c r="D75" s="153">
        <f>IF('tuot-VKO'!I76&gt;0,'tuot-VKO'!I76,IF('tuot-VKO'!H76&gt;0,'tuot-VKO'!H76*1000/7/B75, ))</f>
        <v>0</v>
      </c>
      <c r="E75" s="153">
        <f>IF(C75&gt;0,SUM(C$10:C75), )</f>
        <v>0</v>
      </c>
      <c r="F75" s="153">
        <f>IF('tuot-VKO'!K76&gt;0,'tuot-VKO'!K76,IF('tuot-VKO'!J76&gt;0,'tuot-VKO'!J76*1000/7/B75, ))</f>
        <v>0</v>
      </c>
      <c r="G75" s="155">
        <f t="shared" ref="G75:G115" si="10">IF(D75&gt;0,IF(F75&gt;0,F75/D75, ), )</f>
        <v>0</v>
      </c>
      <c r="H75" s="156">
        <f>IF($H$5&gt;0,IF('tuot-VKO'!D76&gt;0,IF('tuot-VKO'!F76&gt;0,C75/'tuot-VKO'!D76/'tuot-VKO'!F76*1000, ), ), )</f>
        <v>0</v>
      </c>
      <c r="I75" s="157">
        <f>IF($L$5&gt;0,IF('tuot-VKO'!D76&gt;0,IF('tuot-VKO'!F76&gt;0,E75/SUM('tuot-VKO'!D$11:D76)/'tuot-INFO'!L75*1000, ), ), )</f>
        <v>0</v>
      </c>
      <c r="J75" s="156">
        <f>'tuot-VKO'!G76/10</f>
        <v>0</v>
      </c>
      <c r="K75" s="106" t="str">
        <f t="shared" ref="K75:K115" si="11">TEXT(M75,0) &amp; " - " &amp; TEXT(N75,0)</f>
        <v>173 - 184</v>
      </c>
      <c r="L75" s="157">
        <f>'tuot-VKO'!L76</f>
        <v>0</v>
      </c>
      <c r="M75" s="57">
        <f t="shared" ref="M75:M115" si="12">R75/10</f>
        <v>173.4</v>
      </c>
      <c r="N75" s="58">
        <f t="shared" ref="N75:N115" si="13">S75/10</f>
        <v>184.2</v>
      </c>
      <c r="O75" s="59">
        <f t="shared" si="9"/>
        <v>10.799999999999983</v>
      </c>
      <c r="P75" s="60">
        <f t="shared" ref="P75:Q90" si="14">IF(H75&gt;0,H75,P74)</f>
        <v>0</v>
      </c>
      <c r="Q75" s="60">
        <f t="shared" si="14"/>
        <v>0</v>
      </c>
      <c r="R75" s="61">
        <v>1734</v>
      </c>
      <c r="S75" s="61">
        <v>1842</v>
      </c>
      <c r="T75" s="61"/>
      <c r="U75" s="224"/>
      <c r="V75" s="12"/>
      <c r="W75" s="12"/>
      <c r="X75" s="12"/>
      <c r="Y75" s="12"/>
      <c r="Z75" s="12"/>
      <c r="AA75" s="12"/>
      <c r="AB75" s="12"/>
      <c r="AC75" s="12"/>
      <c r="AD75" s="12"/>
    </row>
    <row r="76" spans="1:30" x14ac:dyDescent="0.25">
      <c r="A76" s="145">
        <v>81</v>
      </c>
      <c r="B76" s="146">
        <f>'tuot-INFO'!B76</f>
        <v>9990</v>
      </c>
      <c r="C76" s="147">
        <f>IF('tuot-VKO'!H77&gt;0,'tuot-VKO'!H77,IF('tuot-VKO'!I77&gt;0,'tuot-VKO'!I77*7*B76/1000, ))</f>
        <v>0</v>
      </c>
      <c r="D76" s="146">
        <f>IF('tuot-VKO'!I77&gt;0,'tuot-VKO'!I77,IF('tuot-VKO'!H77&gt;0,'tuot-VKO'!H77*1000/7/B76, ))</f>
        <v>0</v>
      </c>
      <c r="E76" s="146">
        <f>IF(C76&gt;0,SUM(C$10:C76), )</f>
        <v>0</v>
      </c>
      <c r="F76" s="146">
        <f>IF('tuot-VKO'!K77&gt;0,'tuot-VKO'!K77,IF('tuot-VKO'!J77&gt;0,'tuot-VKO'!J77*1000/7/B76, ))</f>
        <v>0</v>
      </c>
      <c r="G76" s="148">
        <f t="shared" si="10"/>
        <v>0</v>
      </c>
      <c r="H76" s="149">
        <f>IF($H$5&gt;0,IF('tuot-VKO'!D77&gt;0,IF('tuot-VKO'!F77&gt;0,C76/'tuot-VKO'!D77/'tuot-VKO'!F77*1000, ), ), )</f>
        <v>0</v>
      </c>
      <c r="I76" s="150">
        <f>IF($L$5&gt;0,IF('tuot-VKO'!D77&gt;0,IF('tuot-VKO'!F77&gt;0,E76/SUM('tuot-VKO'!D$11:D77)/'tuot-INFO'!L76*1000, ), ), )</f>
        <v>0</v>
      </c>
      <c r="J76" s="151">
        <f>'tuot-VKO'!G77/10</f>
        <v>0</v>
      </c>
      <c r="K76" s="96" t="str">
        <f t="shared" si="11"/>
        <v>174 - 184</v>
      </c>
      <c r="L76" s="150">
        <f>'tuot-VKO'!L77</f>
        <v>0</v>
      </c>
      <c r="M76" s="57">
        <f t="shared" si="12"/>
        <v>173.5</v>
      </c>
      <c r="N76" s="58">
        <f t="shared" si="13"/>
        <v>184.3</v>
      </c>
      <c r="O76" s="59">
        <f t="shared" si="9"/>
        <v>10.800000000000011</v>
      </c>
      <c r="P76" s="60">
        <f t="shared" si="14"/>
        <v>0</v>
      </c>
      <c r="Q76" s="60">
        <f t="shared" si="14"/>
        <v>0</v>
      </c>
      <c r="R76" s="61">
        <v>1735</v>
      </c>
      <c r="S76" s="61">
        <v>1843</v>
      </c>
      <c r="T76" s="61"/>
      <c r="U76" s="224"/>
      <c r="V76" s="12"/>
      <c r="W76" s="12"/>
      <c r="X76" s="12"/>
      <c r="Y76" s="12"/>
      <c r="Z76" s="12"/>
      <c r="AA76" s="12"/>
      <c r="AB76" s="12"/>
      <c r="AC76" s="12"/>
      <c r="AD76" s="12"/>
    </row>
    <row r="77" spans="1:30" x14ac:dyDescent="0.25">
      <c r="A77" s="145">
        <v>82</v>
      </c>
      <c r="B77" s="146">
        <f>'tuot-INFO'!B77</f>
        <v>9990</v>
      </c>
      <c r="C77" s="147">
        <f>IF('tuot-VKO'!H78&gt;0,'tuot-VKO'!H78,IF('tuot-VKO'!I78&gt;0,'tuot-VKO'!I78*7*B77/1000, ))</f>
        <v>0</v>
      </c>
      <c r="D77" s="146">
        <f>IF('tuot-VKO'!I78&gt;0,'tuot-VKO'!I78,IF('tuot-VKO'!H78&gt;0,'tuot-VKO'!H78*1000/7/B77, ))</f>
        <v>0</v>
      </c>
      <c r="E77" s="146">
        <f>IF(C77&gt;0,SUM(C$10:C77), )</f>
        <v>0</v>
      </c>
      <c r="F77" s="146">
        <f>IF('tuot-VKO'!K78&gt;0,'tuot-VKO'!K78,IF('tuot-VKO'!J78&gt;0,'tuot-VKO'!J78*1000/7/B77, ))</f>
        <v>0</v>
      </c>
      <c r="G77" s="148">
        <f t="shared" si="10"/>
        <v>0</v>
      </c>
      <c r="H77" s="149">
        <f>IF($H$5&gt;0,IF('tuot-VKO'!D78&gt;0,IF('tuot-VKO'!F78&gt;0,C77/'tuot-VKO'!D78/'tuot-VKO'!F78*1000, ), ), )</f>
        <v>0</v>
      </c>
      <c r="I77" s="150">
        <f>IF($L$5&gt;0,IF('tuot-VKO'!D78&gt;0,IF('tuot-VKO'!F78&gt;0,E77/SUM('tuot-VKO'!D$11:D78)/'tuot-INFO'!L77*1000, ), ), )</f>
        <v>0</v>
      </c>
      <c r="J77" s="151">
        <f>'tuot-VKO'!G78/10</f>
        <v>0</v>
      </c>
      <c r="K77" s="96" t="str">
        <f t="shared" si="11"/>
        <v>174 - 184</v>
      </c>
      <c r="L77" s="150">
        <f>'tuot-VKO'!L78</f>
        <v>0</v>
      </c>
      <c r="M77" s="57">
        <f t="shared" si="12"/>
        <v>173.6</v>
      </c>
      <c r="N77" s="58">
        <f t="shared" si="13"/>
        <v>184.4</v>
      </c>
      <c r="O77" s="59">
        <f t="shared" si="9"/>
        <v>10.800000000000011</v>
      </c>
      <c r="P77" s="60">
        <f t="shared" si="14"/>
        <v>0</v>
      </c>
      <c r="Q77" s="60">
        <f t="shared" si="14"/>
        <v>0</v>
      </c>
      <c r="R77" s="61">
        <v>1736</v>
      </c>
      <c r="S77" s="61">
        <v>1844</v>
      </c>
      <c r="T77" s="61"/>
      <c r="U77" s="224"/>
      <c r="V77" s="12"/>
      <c r="W77" s="12"/>
      <c r="X77" s="12"/>
      <c r="Y77" s="12"/>
      <c r="Z77" s="12"/>
      <c r="AA77" s="12"/>
      <c r="AB77" s="12"/>
      <c r="AC77" s="12"/>
      <c r="AD77" s="12"/>
    </row>
    <row r="78" spans="1:30" x14ac:dyDescent="0.25">
      <c r="A78" s="145">
        <v>83</v>
      </c>
      <c r="B78" s="146">
        <f>'tuot-INFO'!B78</f>
        <v>9990</v>
      </c>
      <c r="C78" s="147">
        <f>IF('tuot-VKO'!H79&gt;0,'tuot-VKO'!H79,IF('tuot-VKO'!I79&gt;0,'tuot-VKO'!I79*7*B78/1000, ))</f>
        <v>0</v>
      </c>
      <c r="D78" s="146">
        <f>IF('tuot-VKO'!I79&gt;0,'tuot-VKO'!I79,IF('tuot-VKO'!H79&gt;0,'tuot-VKO'!H79*1000/7/B78, ))</f>
        <v>0</v>
      </c>
      <c r="E78" s="146">
        <f>IF(C78&gt;0,SUM(C$10:C78), )</f>
        <v>0</v>
      </c>
      <c r="F78" s="146">
        <f>IF('tuot-VKO'!K79&gt;0,'tuot-VKO'!K79,IF('tuot-VKO'!J79&gt;0,'tuot-VKO'!J79*1000/7/B78, ))</f>
        <v>0</v>
      </c>
      <c r="G78" s="148">
        <f t="shared" si="10"/>
        <v>0</v>
      </c>
      <c r="H78" s="149">
        <f>IF($H$5&gt;0,IF('tuot-VKO'!D79&gt;0,IF('tuot-VKO'!F79&gt;0,C78/'tuot-VKO'!D79/'tuot-VKO'!F79*1000, ), ), )</f>
        <v>0</v>
      </c>
      <c r="I78" s="150">
        <f>IF($L$5&gt;0,IF('tuot-VKO'!D79&gt;0,IF('tuot-VKO'!F79&gt;0,E78/SUM('tuot-VKO'!D$11:D79)/'tuot-INFO'!L78*1000, ), ), )</f>
        <v>0</v>
      </c>
      <c r="J78" s="151">
        <f>'tuot-VKO'!G79/10</f>
        <v>0</v>
      </c>
      <c r="K78" s="96" t="str">
        <f t="shared" si="11"/>
        <v>174 - 185</v>
      </c>
      <c r="L78" s="150">
        <f>'tuot-VKO'!L79</f>
        <v>0</v>
      </c>
      <c r="M78" s="57">
        <f t="shared" si="12"/>
        <v>173.7</v>
      </c>
      <c r="N78" s="58">
        <f t="shared" si="13"/>
        <v>184.5</v>
      </c>
      <c r="O78" s="59">
        <f t="shared" si="9"/>
        <v>10.800000000000011</v>
      </c>
      <c r="P78" s="60">
        <f t="shared" si="14"/>
        <v>0</v>
      </c>
      <c r="Q78" s="60">
        <f t="shared" si="14"/>
        <v>0</v>
      </c>
      <c r="R78" s="61">
        <v>1737</v>
      </c>
      <c r="S78" s="61">
        <v>1845</v>
      </c>
      <c r="T78" s="61"/>
      <c r="U78" s="224"/>
      <c r="V78" s="12"/>
      <c r="W78" s="12"/>
      <c r="X78" s="12"/>
      <c r="Y78" s="12"/>
      <c r="Z78" s="12"/>
      <c r="AA78" s="12"/>
      <c r="AB78" s="12"/>
      <c r="AC78" s="12"/>
      <c r="AD78" s="12"/>
    </row>
    <row r="79" spans="1:30" x14ac:dyDescent="0.25">
      <c r="A79" s="145">
        <v>84</v>
      </c>
      <c r="B79" s="146">
        <f>'tuot-INFO'!B79</f>
        <v>9990</v>
      </c>
      <c r="C79" s="147">
        <f>IF('tuot-VKO'!H80&gt;0,'tuot-VKO'!H80,IF('tuot-VKO'!I80&gt;0,'tuot-VKO'!I80*7*B79/1000, ))</f>
        <v>0</v>
      </c>
      <c r="D79" s="146">
        <f>IF('tuot-VKO'!I80&gt;0,'tuot-VKO'!I80,IF('tuot-VKO'!H80&gt;0,'tuot-VKO'!H80*1000/7/B79, ))</f>
        <v>0</v>
      </c>
      <c r="E79" s="146">
        <f>IF(C79&gt;0,SUM(C$10:C79), )</f>
        <v>0</v>
      </c>
      <c r="F79" s="146">
        <f>IF('tuot-VKO'!K80&gt;0,'tuot-VKO'!K80,IF('tuot-VKO'!J80&gt;0,'tuot-VKO'!J80*1000/7/B79, ))</f>
        <v>0</v>
      </c>
      <c r="G79" s="148">
        <f t="shared" si="10"/>
        <v>0</v>
      </c>
      <c r="H79" s="149">
        <f>IF($H$5&gt;0,IF('tuot-VKO'!D80&gt;0,IF('tuot-VKO'!F80&gt;0,C79/'tuot-VKO'!D80/'tuot-VKO'!F80*1000, ), ), )</f>
        <v>0</v>
      </c>
      <c r="I79" s="150">
        <f>IF($L$5&gt;0,IF('tuot-VKO'!D80&gt;0,IF('tuot-VKO'!F80&gt;0,E79/SUM('tuot-VKO'!D$11:D80)/'tuot-INFO'!L79*1000, ), ), )</f>
        <v>0</v>
      </c>
      <c r="J79" s="151">
        <f>'tuot-VKO'!G80/10</f>
        <v>0</v>
      </c>
      <c r="K79" s="96" t="str">
        <f t="shared" si="11"/>
        <v>174 - 185</v>
      </c>
      <c r="L79" s="150">
        <f>'tuot-VKO'!L80</f>
        <v>0</v>
      </c>
      <c r="M79" s="57">
        <f t="shared" si="12"/>
        <v>173.8</v>
      </c>
      <c r="N79" s="58">
        <f t="shared" si="13"/>
        <v>184.6</v>
      </c>
      <c r="O79" s="59">
        <f t="shared" si="9"/>
        <v>10.799999999999983</v>
      </c>
      <c r="P79" s="60">
        <f t="shared" si="14"/>
        <v>0</v>
      </c>
      <c r="Q79" s="60">
        <f t="shared" si="14"/>
        <v>0</v>
      </c>
      <c r="R79" s="61">
        <v>1738</v>
      </c>
      <c r="S79" s="61">
        <v>1846</v>
      </c>
      <c r="T79" s="61"/>
      <c r="U79" s="224"/>
      <c r="V79" s="12"/>
      <c r="W79" s="12"/>
      <c r="X79" s="12"/>
      <c r="Y79" s="12"/>
      <c r="Z79" s="12"/>
      <c r="AA79" s="12"/>
      <c r="AB79" s="12"/>
      <c r="AC79" s="12"/>
      <c r="AD79" s="12"/>
    </row>
    <row r="80" spans="1:30" x14ac:dyDescent="0.25">
      <c r="A80" s="152">
        <v>85</v>
      </c>
      <c r="B80" s="153">
        <f>'tuot-INFO'!B80</f>
        <v>9990</v>
      </c>
      <c r="C80" s="154">
        <f>IF('tuot-VKO'!H81&gt;0,'tuot-VKO'!H81,IF('tuot-VKO'!I81&gt;0,'tuot-VKO'!I81*7*B80/1000, ))</f>
        <v>0</v>
      </c>
      <c r="D80" s="153">
        <f>IF('tuot-VKO'!I81&gt;0,'tuot-VKO'!I81,IF('tuot-VKO'!H81&gt;0,'tuot-VKO'!H81*1000/7/B80, ))</f>
        <v>0</v>
      </c>
      <c r="E80" s="153">
        <f>IF(C80&gt;0,SUM(C$10:C80), )</f>
        <v>0</v>
      </c>
      <c r="F80" s="153">
        <f>IF('tuot-VKO'!K81&gt;0,'tuot-VKO'!K81,IF('tuot-VKO'!J81&gt;0,'tuot-VKO'!J81*1000/7/B80, ))</f>
        <v>0</v>
      </c>
      <c r="G80" s="155">
        <f t="shared" si="10"/>
        <v>0</v>
      </c>
      <c r="H80" s="156">
        <f>IF($H$5&gt;0,IF('tuot-VKO'!D81&gt;0,IF('tuot-VKO'!F81&gt;0,C80/'tuot-VKO'!D81/'tuot-VKO'!F81*1000, ), ), )</f>
        <v>0</v>
      </c>
      <c r="I80" s="157">
        <f>IF($L$5&gt;0,IF('tuot-VKO'!D81&gt;0,IF('tuot-VKO'!F81&gt;0,E80/SUM('tuot-VKO'!D$11:D81)/'tuot-INFO'!L80*1000, ), ), )</f>
        <v>0</v>
      </c>
      <c r="J80" s="158">
        <f>'tuot-VKO'!G81/10</f>
        <v>0</v>
      </c>
      <c r="K80" s="106" t="str">
        <f t="shared" si="11"/>
        <v>174 - 185</v>
      </c>
      <c r="L80" s="157">
        <f>'tuot-VKO'!L81</f>
        <v>0</v>
      </c>
      <c r="M80" s="57">
        <f t="shared" si="12"/>
        <v>173.9</v>
      </c>
      <c r="N80" s="58">
        <f t="shared" si="13"/>
        <v>184.7</v>
      </c>
      <c r="O80" s="59">
        <f t="shared" si="9"/>
        <v>10.799999999999983</v>
      </c>
      <c r="P80" s="60">
        <f t="shared" si="14"/>
        <v>0</v>
      </c>
      <c r="Q80" s="60">
        <f t="shared" si="14"/>
        <v>0</v>
      </c>
      <c r="R80" s="61">
        <v>1739</v>
      </c>
      <c r="S80" s="61">
        <v>1847</v>
      </c>
      <c r="U80" s="224"/>
      <c r="V80" s="12"/>
      <c r="W80" s="12"/>
      <c r="X80" s="12"/>
      <c r="Y80" s="12"/>
      <c r="Z80" s="12"/>
      <c r="AA80" s="12"/>
      <c r="AB80" s="12"/>
      <c r="AC80" s="12"/>
      <c r="AD80" s="12"/>
    </row>
    <row r="81" spans="1:30" x14ac:dyDescent="0.25">
      <c r="A81" s="145">
        <v>86</v>
      </c>
      <c r="B81" s="146">
        <f>'tuot-INFO'!B81</f>
        <v>9990</v>
      </c>
      <c r="C81" s="147">
        <f>IF('tuot-VKO'!H82&gt;0,'tuot-VKO'!H82,IF('tuot-VKO'!I82&gt;0,'tuot-VKO'!I82*7*B81/1000, ))</f>
        <v>0</v>
      </c>
      <c r="D81" s="146">
        <f>IF('tuot-VKO'!I82&gt;0,'tuot-VKO'!I82,IF('tuot-VKO'!H82&gt;0,'tuot-VKO'!H82*1000/7/B81, ))</f>
        <v>0</v>
      </c>
      <c r="E81" s="146">
        <f>IF(C81&gt;0,SUM(C$10:C81), )</f>
        <v>0</v>
      </c>
      <c r="F81" s="146">
        <f>IF('tuot-VKO'!K82&gt;0,'tuot-VKO'!K82,IF('tuot-VKO'!J82&gt;0,'tuot-VKO'!J82*1000/7/B81, ))</f>
        <v>0</v>
      </c>
      <c r="G81" s="148">
        <f t="shared" si="10"/>
        <v>0</v>
      </c>
      <c r="H81" s="149">
        <f>IF($H$5&gt;0,IF('tuot-VKO'!D82&gt;0,IF('tuot-VKO'!F82&gt;0,C81/'tuot-VKO'!D82/'tuot-VKO'!F82*1000, ), ), )</f>
        <v>0</v>
      </c>
      <c r="I81" s="150">
        <f>IF($L$5&gt;0,IF('tuot-VKO'!D82&gt;0,IF('tuot-VKO'!F82&gt;0,E81/SUM('tuot-VKO'!D$11:D82)/'tuot-INFO'!L81*1000, ), ), )</f>
        <v>0</v>
      </c>
      <c r="J81" s="151">
        <f>'tuot-VKO'!G82/10</f>
        <v>0</v>
      </c>
      <c r="K81" s="96" t="str">
        <f t="shared" si="11"/>
        <v>174 - 185</v>
      </c>
      <c r="L81" s="150">
        <f>'tuot-VKO'!L82</f>
        <v>0</v>
      </c>
      <c r="M81" s="57">
        <f t="shared" si="12"/>
        <v>174</v>
      </c>
      <c r="N81" s="58">
        <f t="shared" si="13"/>
        <v>184.8</v>
      </c>
      <c r="O81" s="59">
        <f t="shared" si="9"/>
        <v>10.800000000000011</v>
      </c>
      <c r="P81" s="60">
        <f t="shared" si="14"/>
        <v>0</v>
      </c>
      <c r="Q81" s="60">
        <f t="shared" si="14"/>
        <v>0</v>
      </c>
      <c r="R81" s="61">
        <v>1740</v>
      </c>
      <c r="S81" s="61">
        <v>1848</v>
      </c>
      <c r="T81" s="61"/>
      <c r="U81" s="224"/>
      <c r="V81" s="12"/>
      <c r="W81" s="12"/>
      <c r="X81" s="12"/>
      <c r="Y81" s="12"/>
      <c r="Z81" s="12"/>
      <c r="AA81" s="12"/>
      <c r="AB81" s="12"/>
      <c r="AC81" s="12"/>
      <c r="AD81" s="12"/>
    </row>
    <row r="82" spans="1:30" x14ac:dyDescent="0.25">
      <c r="A82" s="145">
        <v>87</v>
      </c>
      <c r="B82" s="146">
        <f>'tuot-INFO'!B82</f>
        <v>9990</v>
      </c>
      <c r="C82" s="147">
        <f>IF('tuot-VKO'!H83&gt;0,'tuot-VKO'!H83,IF('tuot-VKO'!I83&gt;0,'tuot-VKO'!I83*7*B82/1000, ))</f>
        <v>0</v>
      </c>
      <c r="D82" s="146">
        <f>IF('tuot-VKO'!I83&gt;0,'tuot-VKO'!I83,IF('tuot-VKO'!H83&gt;0,'tuot-VKO'!H83*1000/7/B82, ))</f>
        <v>0</v>
      </c>
      <c r="E82" s="146">
        <f>IF(C82&gt;0,SUM(C$10:C82), )</f>
        <v>0</v>
      </c>
      <c r="F82" s="146">
        <f>IF('tuot-VKO'!K83&gt;0,'tuot-VKO'!K83,IF('tuot-VKO'!J83&gt;0,'tuot-VKO'!J83*1000/7/B82, ))</f>
        <v>0</v>
      </c>
      <c r="G82" s="148">
        <f t="shared" si="10"/>
        <v>0</v>
      </c>
      <c r="H82" s="149">
        <f>IF($H$5&gt;0,IF('tuot-VKO'!D83&gt;0,IF('tuot-VKO'!F83&gt;0,C82/'tuot-VKO'!D83/'tuot-VKO'!F83*1000, ), ), )</f>
        <v>0</v>
      </c>
      <c r="I82" s="150">
        <f>IF($L$5&gt;0,IF('tuot-VKO'!D83&gt;0,IF('tuot-VKO'!F83&gt;0,E82/SUM('tuot-VKO'!D$11:D83)/'tuot-INFO'!L82*1000, ), ), )</f>
        <v>0</v>
      </c>
      <c r="J82" s="151">
        <f>'tuot-VKO'!G83/10</f>
        <v>0</v>
      </c>
      <c r="K82" s="96" t="str">
        <f t="shared" si="11"/>
        <v>174 - 185</v>
      </c>
      <c r="L82" s="150">
        <f>'tuot-VKO'!L83</f>
        <v>0</v>
      </c>
      <c r="M82" s="57">
        <f t="shared" si="12"/>
        <v>174.1</v>
      </c>
      <c r="N82" s="58">
        <f t="shared" si="13"/>
        <v>184.9</v>
      </c>
      <c r="O82" s="59">
        <f t="shared" si="9"/>
        <v>10.800000000000011</v>
      </c>
      <c r="P82" s="60">
        <f t="shared" si="14"/>
        <v>0</v>
      </c>
      <c r="Q82" s="60">
        <f t="shared" si="14"/>
        <v>0</v>
      </c>
      <c r="R82" s="61">
        <v>1741</v>
      </c>
      <c r="S82" s="61">
        <v>1849</v>
      </c>
      <c r="T82" s="61"/>
      <c r="U82" s="224"/>
      <c r="V82" s="12"/>
      <c r="W82" s="12"/>
      <c r="X82" s="12"/>
      <c r="Y82" s="12"/>
      <c r="Z82" s="12"/>
      <c r="AA82" s="12"/>
      <c r="AB82" s="12"/>
      <c r="AC82" s="12"/>
      <c r="AD82" s="12"/>
    </row>
    <row r="83" spans="1:30" x14ac:dyDescent="0.25">
      <c r="A83" s="145">
        <v>88</v>
      </c>
      <c r="B83" s="146">
        <f>'tuot-INFO'!B83</f>
        <v>9990</v>
      </c>
      <c r="C83" s="147">
        <f>IF('tuot-VKO'!H84&gt;0,'tuot-VKO'!H84,IF('tuot-VKO'!I84&gt;0,'tuot-VKO'!I84*7*B83/1000, ))</f>
        <v>0</v>
      </c>
      <c r="D83" s="146">
        <f>IF('tuot-VKO'!I84&gt;0,'tuot-VKO'!I84,IF('tuot-VKO'!H84&gt;0,'tuot-VKO'!H84*1000/7/B83, ))</f>
        <v>0</v>
      </c>
      <c r="E83" s="146">
        <f>IF(C83&gt;0,SUM(C$10:C83), )</f>
        <v>0</v>
      </c>
      <c r="F83" s="146">
        <f>IF('tuot-VKO'!K84&gt;0,'tuot-VKO'!K84,IF('tuot-VKO'!J84&gt;0,'tuot-VKO'!J84*1000/7/B83, ))</f>
        <v>0</v>
      </c>
      <c r="G83" s="148">
        <f t="shared" si="10"/>
        <v>0</v>
      </c>
      <c r="H83" s="149">
        <f>IF($H$5&gt;0,IF('tuot-VKO'!D84&gt;0,IF('tuot-VKO'!F84&gt;0,C83/'tuot-VKO'!D84/'tuot-VKO'!F84*1000, ), ), )</f>
        <v>0</v>
      </c>
      <c r="I83" s="150">
        <f>IF($L$5&gt;0,IF('tuot-VKO'!D84&gt;0,IF('tuot-VKO'!F84&gt;0,E83/SUM('tuot-VKO'!D$11:D84)/'tuot-INFO'!L83*1000, ), ), )</f>
        <v>0</v>
      </c>
      <c r="J83" s="151">
        <f>'tuot-VKO'!G84/10</f>
        <v>0</v>
      </c>
      <c r="K83" s="96" t="str">
        <f t="shared" si="11"/>
        <v>174 - 185</v>
      </c>
      <c r="L83" s="150">
        <f>'tuot-VKO'!L84</f>
        <v>0</v>
      </c>
      <c r="M83" s="57">
        <f t="shared" si="12"/>
        <v>174.2</v>
      </c>
      <c r="N83" s="58">
        <f t="shared" si="13"/>
        <v>184.9</v>
      </c>
      <c r="O83" s="59">
        <f t="shared" si="9"/>
        <v>10.700000000000017</v>
      </c>
      <c r="P83" s="60">
        <f t="shared" si="14"/>
        <v>0</v>
      </c>
      <c r="Q83" s="60">
        <f t="shared" si="14"/>
        <v>0</v>
      </c>
      <c r="R83" s="61">
        <v>1742</v>
      </c>
      <c r="S83" s="61">
        <v>1849</v>
      </c>
      <c r="T83" s="61"/>
      <c r="U83" s="224"/>
      <c r="V83" s="12"/>
      <c r="W83" s="12"/>
      <c r="X83" s="12"/>
      <c r="Y83" s="12"/>
      <c r="Z83" s="12"/>
      <c r="AA83" s="12"/>
      <c r="AB83" s="12"/>
      <c r="AC83" s="12"/>
      <c r="AD83" s="12"/>
    </row>
    <row r="84" spans="1:30" x14ac:dyDescent="0.25">
      <c r="A84" s="145">
        <v>89</v>
      </c>
      <c r="B84" s="146">
        <f>'tuot-INFO'!B84</f>
        <v>9990</v>
      </c>
      <c r="C84" s="147">
        <f>IF('tuot-VKO'!H85&gt;0,'tuot-VKO'!H85,IF('tuot-VKO'!I85&gt;0,'tuot-VKO'!I85*7*B84/1000, ))</f>
        <v>0</v>
      </c>
      <c r="D84" s="146">
        <f>IF('tuot-VKO'!I85&gt;0,'tuot-VKO'!I85,IF('tuot-VKO'!H85&gt;0,'tuot-VKO'!H85*1000/7/B84, ))</f>
        <v>0</v>
      </c>
      <c r="E84" s="146">
        <f>IF(C84&gt;0,SUM(C$10:C84), )</f>
        <v>0</v>
      </c>
      <c r="F84" s="146">
        <f>IF('tuot-VKO'!K85&gt;0,'tuot-VKO'!K85,IF('tuot-VKO'!J85&gt;0,'tuot-VKO'!J85*1000/7/B84, ))</f>
        <v>0</v>
      </c>
      <c r="G84" s="148">
        <f t="shared" si="10"/>
        <v>0</v>
      </c>
      <c r="H84" s="149">
        <f>IF($H$5&gt;0,IF('tuot-VKO'!D85&gt;0,IF('tuot-VKO'!F85&gt;0,C84/'tuot-VKO'!D85/'tuot-VKO'!F85*1000, ), ), )</f>
        <v>0</v>
      </c>
      <c r="I84" s="150">
        <f>IF($L$5&gt;0,IF('tuot-VKO'!D85&gt;0,IF('tuot-VKO'!F85&gt;0,E84/SUM('tuot-VKO'!D$11:D85)/'tuot-INFO'!L84*1000, ), ), )</f>
        <v>0</v>
      </c>
      <c r="J84" s="151">
        <f>'tuot-VKO'!G85/10</f>
        <v>0</v>
      </c>
      <c r="K84" s="96" t="str">
        <f t="shared" si="11"/>
        <v>174 - 185</v>
      </c>
      <c r="L84" s="150">
        <f>'tuot-VKO'!L85</f>
        <v>0</v>
      </c>
      <c r="M84" s="57">
        <f t="shared" si="12"/>
        <v>174.2</v>
      </c>
      <c r="N84" s="58">
        <f t="shared" si="13"/>
        <v>185</v>
      </c>
      <c r="O84" s="59">
        <f t="shared" si="9"/>
        <v>10.800000000000011</v>
      </c>
      <c r="P84" s="60">
        <f t="shared" si="14"/>
        <v>0</v>
      </c>
      <c r="Q84" s="60">
        <f t="shared" si="14"/>
        <v>0</v>
      </c>
      <c r="R84" s="61">
        <v>1742</v>
      </c>
      <c r="S84" s="61">
        <v>1850</v>
      </c>
      <c r="T84" s="61"/>
      <c r="U84" s="224"/>
      <c r="V84" s="12"/>
      <c r="W84" s="12"/>
      <c r="X84" s="12"/>
      <c r="Y84" s="12"/>
      <c r="Z84" s="12"/>
      <c r="AA84" s="12"/>
      <c r="AB84" s="12"/>
      <c r="AC84" s="12"/>
      <c r="AD84" s="12"/>
    </row>
    <row r="85" spans="1:30" x14ac:dyDescent="0.25">
      <c r="A85" s="152">
        <v>90</v>
      </c>
      <c r="B85" s="153">
        <f>'tuot-INFO'!B85</f>
        <v>9990</v>
      </c>
      <c r="C85" s="154">
        <f>IF('tuot-VKO'!H86&gt;0,'tuot-VKO'!H86,IF('tuot-VKO'!I86&gt;0,'tuot-VKO'!I86*7*B85/1000, ))</f>
        <v>0</v>
      </c>
      <c r="D85" s="153">
        <f>IF('tuot-VKO'!I86&gt;0,'tuot-VKO'!I86,IF('tuot-VKO'!H86&gt;0,'tuot-VKO'!H86*1000/7/B85, ))</f>
        <v>0</v>
      </c>
      <c r="E85" s="153">
        <f>IF(C85&gt;0,SUM(C$10:C85), )</f>
        <v>0</v>
      </c>
      <c r="F85" s="153">
        <f>IF('tuot-VKO'!K86&gt;0,'tuot-VKO'!K86,IF('tuot-VKO'!J86&gt;0,'tuot-VKO'!J86*1000/7/B85, ))</f>
        <v>0</v>
      </c>
      <c r="G85" s="155">
        <f t="shared" si="10"/>
        <v>0</v>
      </c>
      <c r="H85" s="156">
        <f>IF($H$5&gt;0,IF('tuot-VKO'!D86&gt;0,IF('tuot-VKO'!F86&gt;0,C85/'tuot-VKO'!D86/'tuot-VKO'!F86*1000, ), ), )</f>
        <v>0</v>
      </c>
      <c r="I85" s="157">
        <f>IF($L$5&gt;0,IF('tuot-VKO'!D86&gt;0,IF('tuot-VKO'!F86&gt;0,E85/SUM('tuot-VKO'!D$11:D86)/'tuot-INFO'!L85*1000, ), ), )</f>
        <v>0</v>
      </c>
      <c r="J85" s="158">
        <f>'tuot-VKO'!G86/10</f>
        <v>0</v>
      </c>
      <c r="K85" s="106" t="str">
        <f t="shared" si="11"/>
        <v>174 - 185</v>
      </c>
      <c r="L85" s="157">
        <f>'tuot-VKO'!L86</f>
        <v>0</v>
      </c>
      <c r="M85" s="57">
        <f t="shared" si="12"/>
        <v>174.3</v>
      </c>
      <c r="N85" s="58">
        <f t="shared" si="13"/>
        <v>185.1</v>
      </c>
      <c r="O85" s="59">
        <f t="shared" si="9"/>
        <v>10.799999999999983</v>
      </c>
      <c r="P85" s="60">
        <f t="shared" si="14"/>
        <v>0</v>
      </c>
      <c r="Q85" s="60">
        <f t="shared" si="14"/>
        <v>0</v>
      </c>
      <c r="R85" s="61">
        <v>1743</v>
      </c>
      <c r="S85" s="61">
        <v>1851</v>
      </c>
      <c r="T85" s="61"/>
      <c r="U85" s="224"/>
      <c r="V85" s="12"/>
      <c r="W85" s="12"/>
      <c r="X85" s="12"/>
      <c r="Y85" s="12"/>
      <c r="Z85" s="12"/>
      <c r="AA85" s="12"/>
      <c r="AB85" s="12"/>
      <c r="AC85" s="12"/>
      <c r="AD85" s="12"/>
    </row>
    <row r="86" spans="1:30" x14ac:dyDescent="0.25">
      <c r="A86" s="145">
        <v>91</v>
      </c>
      <c r="B86" s="146">
        <f>'tuot-INFO'!B86</f>
        <v>9990</v>
      </c>
      <c r="C86" s="147">
        <f>IF('tuot-VKO'!H87&gt;0,'tuot-VKO'!H87,IF('tuot-VKO'!I87&gt;0,'tuot-VKO'!I87*7*B86/1000, ))</f>
        <v>0</v>
      </c>
      <c r="D86" s="146">
        <f>IF('tuot-VKO'!I87&gt;0,'tuot-VKO'!I87,IF('tuot-VKO'!H87&gt;0,'tuot-VKO'!H87*1000/7/B86, ))</f>
        <v>0</v>
      </c>
      <c r="E86" s="146">
        <f>IF(C86&gt;0,SUM(C$10:C86), )</f>
        <v>0</v>
      </c>
      <c r="F86" s="146">
        <f>IF('tuot-VKO'!K87&gt;0,'tuot-VKO'!K87,IF('tuot-VKO'!J87&gt;0,'tuot-VKO'!J87*1000/7/B86, ))</f>
        <v>0</v>
      </c>
      <c r="G86" s="148">
        <f t="shared" si="10"/>
        <v>0</v>
      </c>
      <c r="H86" s="149">
        <f>IF($H$5&gt;0,IF('tuot-VKO'!D87&gt;0,IF('tuot-VKO'!F87&gt;0,C86/'tuot-VKO'!D87/'tuot-VKO'!F87*1000, ), ), )</f>
        <v>0</v>
      </c>
      <c r="I86" s="150">
        <f>IF($L$5&gt;0,IF('tuot-VKO'!D87&gt;0,IF('tuot-VKO'!F87&gt;0,E86/SUM('tuot-VKO'!D$11:D87)/'tuot-INFO'!L86*1000, ), ), )</f>
        <v>0</v>
      </c>
      <c r="J86" s="151">
        <f>'tuot-VKO'!G87/10</f>
        <v>0</v>
      </c>
      <c r="K86" s="96" t="str">
        <f t="shared" si="11"/>
        <v>174 - 185</v>
      </c>
      <c r="L86" s="150">
        <f>'tuot-VKO'!L87</f>
        <v>0</v>
      </c>
      <c r="M86" s="57">
        <f t="shared" si="12"/>
        <v>174.4</v>
      </c>
      <c r="N86" s="58">
        <f t="shared" si="13"/>
        <v>185.1</v>
      </c>
      <c r="O86" s="59">
        <f t="shared" si="9"/>
        <v>10.699999999999989</v>
      </c>
      <c r="P86" s="60">
        <f t="shared" si="14"/>
        <v>0</v>
      </c>
      <c r="Q86" s="60">
        <f t="shared" si="14"/>
        <v>0</v>
      </c>
      <c r="R86" s="61">
        <v>1744</v>
      </c>
      <c r="S86" s="61">
        <v>1851</v>
      </c>
      <c r="T86" s="61"/>
      <c r="U86" s="224"/>
      <c r="V86" s="12"/>
      <c r="W86" s="12"/>
      <c r="X86" s="12"/>
      <c r="Y86" s="12"/>
      <c r="Z86" s="12"/>
      <c r="AA86" s="12"/>
      <c r="AB86" s="12"/>
      <c r="AC86" s="12"/>
      <c r="AD86" s="12"/>
    </row>
    <row r="87" spans="1:30" x14ac:dyDescent="0.25">
      <c r="A87" s="145">
        <v>92</v>
      </c>
      <c r="B87" s="146">
        <f>'tuot-INFO'!B87</f>
        <v>9990</v>
      </c>
      <c r="C87" s="147">
        <f>IF('tuot-VKO'!H88&gt;0,'tuot-VKO'!H88,IF('tuot-VKO'!I88&gt;0,'tuot-VKO'!I88*7*B87/1000, ))</f>
        <v>0</v>
      </c>
      <c r="D87" s="146">
        <f>IF('tuot-VKO'!I88&gt;0,'tuot-VKO'!I88,IF('tuot-VKO'!H88&gt;0,'tuot-VKO'!H88*1000/7/B87, ))</f>
        <v>0</v>
      </c>
      <c r="E87" s="146">
        <f>IF(C87&gt;0,SUM(C$10:C87), )</f>
        <v>0</v>
      </c>
      <c r="F87" s="146">
        <f>IF('tuot-VKO'!K88&gt;0,'tuot-VKO'!K88,IF('tuot-VKO'!J88&gt;0,'tuot-VKO'!J88*1000/7/B87, ))</f>
        <v>0</v>
      </c>
      <c r="G87" s="148">
        <f t="shared" si="10"/>
        <v>0</v>
      </c>
      <c r="H87" s="149">
        <f>IF($H$5&gt;0,IF('tuot-VKO'!D88&gt;0,IF('tuot-VKO'!F88&gt;0,C87/'tuot-VKO'!D88/'tuot-VKO'!F88*1000, ), ), )</f>
        <v>0</v>
      </c>
      <c r="I87" s="150">
        <f>IF($L$5&gt;0,IF('tuot-VKO'!D88&gt;0,IF('tuot-VKO'!F88&gt;0,E87/SUM('tuot-VKO'!D$11:D88)/'tuot-INFO'!L87*1000, ), ), )</f>
        <v>0</v>
      </c>
      <c r="J87" s="151">
        <f>'tuot-VKO'!G88/10</f>
        <v>0</v>
      </c>
      <c r="K87" s="96" t="str">
        <f t="shared" si="11"/>
        <v>174 - 185</v>
      </c>
      <c r="L87" s="150">
        <f>'tuot-VKO'!L88</f>
        <v>0</v>
      </c>
      <c r="M87" s="57">
        <f t="shared" si="12"/>
        <v>174.4</v>
      </c>
      <c r="N87" s="58">
        <f t="shared" si="13"/>
        <v>185.2</v>
      </c>
      <c r="O87" s="59">
        <f t="shared" si="9"/>
        <v>10.799999999999983</v>
      </c>
      <c r="P87" s="60">
        <f t="shared" si="14"/>
        <v>0</v>
      </c>
      <c r="Q87" s="60">
        <f t="shared" si="14"/>
        <v>0</v>
      </c>
      <c r="R87" s="61">
        <v>1744</v>
      </c>
      <c r="S87" s="61">
        <v>1852</v>
      </c>
      <c r="T87" s="61"/>
      <c r="U87" s="224"/>
      <c r="V87" s="12"/>
      <c r="W87" s="12"/>
      <c r="X87" s="12"/>
      <c r="Y87" s="12"/>
      <c r="Z87" s="12"/>
      <c r="AA87" s="12"/>
      <c r="AB87" s="12"/>
      <c r="AC87" s="12"/>
      <c r="AD87" s="12"/>
    </row>
    <row r="88" spans="1:30" x14ac:dyDescent="0.25">
      <c r="A88" s="145">
        <v>93</v>
      </c>
      <c r="B88" s="146">
        <f>'tuot-INFO'!B88</f>
        <v>9990</v>
      </c>
      <c r="C88" s="147">
        <f>IF('tuot-VKO'!H89&gt;0,'tuot-VKO'!H89,IF('tuot-VKO'!I89&gt;0,'tuot-VKO'!I89*7*B88/1000, ))</f>
        <v>0</v>
      </c>
      <c r="D88" s="146">
        <f>IF('tuot-VKO'!I89&gt;0,'tuot-VKO'!I89,IF('tuot-VKO'!H89&gt;0,'tuot-VKO'!H89*1000/7/B88, ))</f>
        <v>0</v>
      </c>
      <c r="E88" s="146">
        <f>IF(C88&gt;0,SUM(C$10:C88), )</f>
        <v>0</v>
      </c>
      <c r="F88" s="146">
        <f>IF('tuot-VKO'!K89&gt;0,'tuot-VKO'!K89,IF('tuot-VKO'!J89&gt;0,'tuot-VKO'!J89*1000/7/B88, ))</f>
        <v>0</v>
      </c>
      <c r="G88" s="148">
        <f t="shared" si="10"/>
        <v>0</v>
      </c>
      <c r="H88" s="149">
        <f>IF($H$5&gt;0,IF('tuot-VKO'!D89&gt;0,IF('tuot-VKO'!F89&gt;0,C88/'tuot-VKO'!D89/'tuot-VKO'!F89*1000, ), ), )</f>
        <v>0</v>
      </c>
      <c r="I88" s="150">
        <f>IF($L$5&gt;0,IF('tuot-VKO'!D89&gt;0,IF('tuot-VKO'!F89&gt;0,E88/SUM('tuot-VKO'!D$11:D89)/'tuot-INFO'!L88*1000, ), ), )</f>
        <v>0</v>
      </c>
      <c r="J88" s="151">
        <f>'tuot-VKO'!G89/10</f>
        <v>0</v>
      </c>
      <c r="K88" s="96" t="str">
        <f t="shared" si="11"/>
        <v>175 - 185</v>
      </c>
      <c r="L88" s="150">
        <f>'tuot-VKO'!L89</f>
        <v>0</v>
      </c>
      <c r="M88" s="57">
        <f t="shared" si="12"/>
        <v>174.5</v>
      </c>
      <c r="N88" s="58">
        <f t="shared" si="13"/>
        <v>185.2</v>
      </c>
      <c r="O88" s="59">
        <f t="shared" si="9"/>
        <v>10.699999999999989</v>
      </c>
      <c r="P88" s="60">
        <f t="shared" si="14"/>
        <v>0</v>
      </c>
      <c r="Q88" s="60">
        <f t="shared" si="14"/>
        <v>0</v>
      </c>
      <c r="R88" s="61">
        <v>1745</v>
      </c>
      <c r="S88" s="61">
        <v>1852</v>
      </c>
      <c r="T88" s="61"/>
      <c r="U88" s="224"/>
      <c r="V88" s="12"/>
      <c r="W88" s="12"/>
      <c r="X88" s="12"/>
      <c r="Y88" s="12"/>
      <c r="Z88" s="12"/>
      <c r="AA88" s="12"/>
      <c r="AB88" s="12"/>
      <c r="AC88" s="12"/>
      <c r="AD88" s="12"/>
    </row>
    <row r="89" spans="1:30" x14ac:dyDescent="0.25">
      <c r="A89" s="145">
        <v>94</v>
      </c>
      <c r="B89" s="146">
        <f>'tuot-INFO'!B89</f>
        <v>9990</v>
      </c>
      <c r="C89" s="147">
        <f>IF('tuot-VKO'!H90&gt;0,'tuot-VKO'!H90,IF('tuot-VKO'!I90&gt;0,'tuot-VKO'!I90*7*B89/1000, ))</f>
        <v>0</v>
      </c>
      <c r="D89" s="146">
        <f>IF('tuot-VKO'!I90&gt;0,'tuot-VKO'!I90,IF('tuot-VKO'!H90&gt;0,'tuot-VKO'!H90*1000/7/B89, ))</f>
        <v>0</v>
      </c>
      <c r="E89" s="146">
        <f>IF(C89&gt;0,SUM(C$10:C89), )</f>
        <v>0</v>
      </c>
      <c r="F89" s="146">
        <f>IF('tuot-VKO'!K90&gt;0,'tuot-VKO'!K90,IF('tuot-VKO'!J90&gt;0,'tuot-VKO'!J90*1000/7/B89, ))</f>
        <v>0</v>
      </c>
      <c r="G89" s="148">
        <f t="shared" si="10"/>
        <v>0</v>
      </c>
      <c r="H89" s="149">
        <f>IF($H$5&gt;0,IF('tuot-VKO'!D90&gt;0,IF('tuot-VKO'!F90&gt;0,C89/'tuot-VKO'!D90/'tuot-VKO'!F90*1000, ), ), )</f>
        <v>0</v>
      </c>
      <c r="I89" s="150">
        <f>IF($L$5&gt;0,IF('tuot-VKO'!D90&gt;0,IF('tuot-VKO'!F90&gt;0,E89/SUM('tuot-VKO'!D$11:D90)/'tuot-INFO'!L89*1000, ), ), )</f>
        <v>0</v>
      </c>
      <c r="J89" s="151">
        <f>'tuot-VKO'!G90/10</f>
        <v>0</v>
      </c>
      <c r="K89" s="96" t="str">
        <f t="shared" si="11"/>
        <v>175 - 185</v>
      </c>
      <c r="L89" s="150">
        <f>'tuot-VKO'!L90</f>
        <v>0</v>
      </c>
      <c r="M89" s="57">
        <f t="shared" si="12"/>
        <v>174.5</v>
      </c>
      <c r="N89" s="58">
        <f t="shared" si="13"/>
        <v>185.3</v>
      </c>
      <c r="O89" s="59">
        <f t="shared" si="9"/>
        <v>10.800000000000011</v>
      </c>
      <c r="P89" s="60">
        <f t="shared" si="14"/>
        <v>0</v>
      </c>
      <c r="Q89" s="60">
        <f t="shared" si="14"/>
        <v>0</v>
      </c>
      <c r="R89" s="61">
        <v>1745</v>
      </c>
      <c r="S89" s="61">
        <v>1853</v>
      </c>
      <c r="T89" s="61"/>
      <c r="U89" s="224"/>
      <c r="V89" s="12"/>
      <c r="W89" s="12"/>
      <c r="X89" s="12"/>
      <c r="Y89" s="12"/>
      <c r="Z89" s="12"/>
      <c r="AA89" s="12"/>
      <c r="AB89" s="12"/>
      <c r="AC89" s="12"/>
      <c r="AD89" s="12"/>
    </row>
    <row r="90" spans="1:30" ht="15.75" thickBot="1" x14ac:dyDescent="0.3">
      <c r="A90" s="159">
        <v>95</v>
      </c>
      <c r="B90" s="160">
        <f>'tuot-INFO'!B90</f>
        <v>9990</v>
      </c>
      <c r="C90" s="161">
        <f>IF('tuot-VKO'!H91&gt;0,'tuot-VKO'!H91,IF('tuot-VKO'!I91&gt;0,'tuot-VKO'!I91*7*B90/1000, ))</f>
        <v>0</v>
      </c>
      <c r="D90" s="160">
        <f>IF('tuot-VKO'!I91&gt;0,'tuot-VKO'!I91,IF('tuot-VKO'!H91&gt;0,'tuot-VKO'!H91*1000/7/B90, ))</f>
        <v>0</v>
      </c>
      <c r="E90" s="160">
        <f>IF(C90&gt;0,SUM(C$10:C90), )</f>
        <v>0</v>
      </c>
      <c r="F90" s="160">
        <f>IF('tuot-VKO'!K91&gt;0,'tuot-VKO'!K91,IF('tuot-VKO'!J91&gt;0,'tuot-VKO'!J91*1000/7/B90, ))</f>
        <v>0</v>
      </c>
      <c r="G90" s="162">
        <f t="shared" si="10"/>
        <v>0</v>
      </c>
      <c r="H90" s="163">
        <f>IF($H$5&gt;0,IF('tuot-VKO'!D91&gt;0,IF('tuot-VKO'!F91&gt;0,C90/'tuot-VKO'!D91/'tuot-VKO'!F91*1000, ), ), )</f>
        <v>0</v>
      </c>
      <c r="I90" s="164">
        <f>IF($L$5&gt;0,IF('tuot-VKO'!D91&gt;0,IF('tuot-VKO'!F91&gt;0,E90/SUM('tuot-VKO'!D$11:D91)/'tuot-INFO'!L90*1000, ), ), )</f>
        <v>0</v>
      </c>
      <c r="J90" s="205">
        <f>'tuot-VKO'!G91/10</f>
        <v>0</v>
      </c>
      <c r="K90" s="113" t="str">
        <f t="shared" si="11"/>
        <v>175 - 185</v>
      </c>
      <c r="L90" s="164">
        <f>'tuot-VKO'!L91</f>
        <v>0</v>
      </c>
      <c r="M90" s="57">
        <f t="shared" si="12"/>
        <v>174.6</v>
      </c>
      <c r="N90" s="58">
        <f t="shared" si="13"/>
        <v>185.3</v>
      </c>
      <c r="O90" s="59">
        <f t="shared" si="9"/>
        <v>10.700000000000017</v>
      </c>
      <c r="P90" s="60">
        <f t="shared" si="14"/>
        <v>0</v>
      </c>
      <c r="Q90" s="60">
        <f t="shared" si="14"/>
        <v>0</v>
      </c>
      <c r="R90" s="61">
        <v>1746</v>
      </c>
      <c r="S90" s="61">
        <v>1853</v>
      </c>
      <c r="T90" s="229"/>
      <c r="U90" s="224"/>
      <c r="V90" s="12"/>
      <c r="W90" s="12"/>
      <c r="X90" s="12"/>
      <c r="Y90" s="12"/>
      <c r="Z90" s="12"/>
      <c r="AA90" s="12"/>
      <c r="AB90" s="12"/>
      <c r="AC90" s="12"/>
      <c r="AD90" s="12"/>
    </row>
    <row r="91" spans="1:30" ht="15.75" thickTop="1" x14ac:dyDescent="0.25">
      <c r="A91" s="145">
        <v>96</v>
      </c>
      <c r="B91" s="146">
        <f>'tuot-INFO'!B91</f>
        <v>9990</v>
      </c>
      <c r="C91" s="147">
        <f>IF('tuot-VKO'!H92&gt;0,'tuot-VKO'!H92,IF('tuot-VKO'!I92&gt;0,'tuot-VKO'!I92*7*B91/1000, ))</f>
        <v>0</v>
      </c>
      <c r="D91" s="146">
        <f>IF('tuot-VKO'!I92&gt;0,'tuot-VKO'!I92,IF('tuot-VKO'!H92&gt;0,'tuot-VKO'!H92*1000/7/B91, ))</f>
        <v>0</v>
      </c>
      <c r="E91" s="146">
        <f>IF(C91&gt;0,SUM(C$10:C91), )</f>
        <v>0</v>
      </c>
      <c r="F91" s="146">
        <f>IF('tuot-VKO'!K92&gt;0,'tuot-VKO'!K92,IF('tuot-VKO'!J92&gt;0,'tuot-VKO'!J92*1000/7/B91, ))</f>
        <v>0</v>
      </c>
      <c r="G91" s="148">
        <f t="shared" si="10"/>
        <v>0</v>
      </c>
      <c r="H91" s="149">
        <f>IF($H$5&gt;0,IF('tuot-VKO'!D92&gt;0,IF('tuot-VKO'!F92&gt;0,C91/'tuot-VKO'!D92/'tuot-VKO'!F92*1000, ), ), )</f>
        <v>0</v>
      </c>
      <c r="I91" s="150">
        <f>IF($L$5&gt;0,IF('tuot-VKO'!D92&gt;0,IF('tuot-VKO'!F92&gt;0,E91/SUM('tuot-VKO'!D$11:D92)/'tuot-INFO'!L91*1000, ), ), )</f>
        <v>0</v>
      </c>
      <c r="J91" s="151">
        <f>'tuot-VKO'!G92/10</f>
        <v>0</v>
      </c>
      <c r="K91" s="96" t="str">
        <f t="shared" si="11"/>
        <v>175 - 185</v>
      </c>
      <c r="L91" s="150">
        <f>'tuot-VKO'!L92</f>
        <v>0</v>
      </c>
      <c r="M91" s="57">
        <f t="shared" si="12"/>
        <v>174.6</v>
      </c>
      <c r="N91" s="58">
        <f t="shared" si="13"/>
        <v>185.3</v>
      </c>
      <c r="O91" s="59">
        <f t="shared" si="9"/>
        <v>10.700000000000017</v>
      </c>
      <c r="P91" s="60">
        <f t="shared" ref="P91:Q106" si="15">IF(H91&gt;0,H91,P90)</f>
        <v>0</v>
      </c>
      <c r="Q91" s="60">
        <f t="shared" si="15"/>
        <v>0</v>
      </c>
      <c r="R91" s="61">
        <v>1746</v>
      </c>
      <c r="S91" s="61">
        <v>1853</v>
      </c>
      <c r="T91" s="61"/>
      <c r="U91" s="224"/>
      <c r="V91" s="12"/>
      <c r="W91" s="12"/>
      <c r="X91" s="12"/>
      <c r="Y91" s="12"/>
      <c r="Z91" s="12"/>
      <c r="AA91" s="12"/>
      <c r="AB91" s="12"/>
      <c r="AC91" s="12"/>
      <c r="AD91" s="12"/>
    </row>
    <row r="92" spans="1:30" x14ac:dyDescent="0.25">
      <c r="A92" s="145">
        <v>97</v>
      </c>
      <c r="B92" s="146">
        <f>'tuot-INFO'!B92</f>
        <v>9990</v>
      </c>
      <c r="C92" s="147">
        <f>IF('tuot-VKO'!H93&gt;0,'tuot-VKO'!H93,IF('tuot-VKO'!I93&gt;0,'tuot-VKO'!I93*7*B92/1000, ))</f>
        <v>0</v>
      </c>
      <c r="D92" s="146">
        <f>IF('tuot-VKO'!I93&gt;0,'tuot-VKO'!I93,IF('tuot-VKO'!H93&gt;0,'tuot-VKO'!H93*1000/7/B92, ))</f>
        <v>0</v>
      </c>
      <c r="E92" s="146">
        <f>IF(C92&gt;0,SUM(C$10:C92), )</f>
        <v>0</v>
      </c>
      <c r="F92" s="146">
        <f>IF('tuot-VKO'!K93&gt;0,'tuot-VKO'!K93,IF('tuot-VKO'!J93&gt;0,'tuot-VKO'!J93*1000/7/B92, ))</f>
        <v>0</v>
      </c>
      <c r="G92" s="148">
        <f t="shared" si="10"/>
        <v>0</v>
      </c>
      <c r="H92" s="149">
        <f>IF($H$5&gt;0,IF('tuot-VKO'!D93&gt;0,IF('tuot-VKO'!F93&gt;0,C92/'tuot-VKO'!D93/'tuot-VKO'!F93*1000, ), ), )</f>
        <v>0</v>
      </c>
      <c r="I92" s="150">
        <f>IF($L$5&gt;0,IF('tuot-VKO'!D93&gt;0,IF('tuot-VKO'!F93&gt;0,E92/SUM('tuot-VKO'!D$11:D93)/'tuot-INFO'!L92*1000, ), ), )</f>
        <v>0</v>
      </c>
      <c r="J92" s="151">
        <f>'tuot-VKO'!G93/10</f>
        <v>0</v>
      </c>
      <c r="K92" s="96" t="str">
        <f t="shared" si="11"/>
        <v>175 - 185</v>
      </c>
      <c r="L92" s="150">
        <f>'tuot-VKO'!L93</f>
        <v>0</v>
      </c>
      <c r="M92" s="57">
        <f t="shared" si="12"/>
        <v>174.6</v>
      </c>
      <c r="N92" s="58">
        <f t="shared" si="13"/>
        <v>185.3</v>
      </c>
      <c r="O92" s="59">
        <f t="shared" si="9"/>
        <v>10.700000000000017</v>
      </c>
      <c r="P92" s="60">
        <f t="shared" si="15"/>
        <v>0</v>
      </c>
      <c r="Q92" s="60">
        <f t="shared" si="15"/>
        <v>0</v>
      </c>
      <c r="R92" s="61">
        <v>1746</v>
      </c>
      <c r="S92" s="61">
        <v>1853</v>
      </c>
      <c r="T92" s="61"/>
      <c r="U92" s="224"/>
      <c r="V92" s="12"/>
      <c r="W92" s="12"/>
      <c r="X92" s="12"/>
      <c r="Y92" s="12"/>
      <c r="Z92" s="12"/>
      <c r="AA92" s="12"/>
      <c r="AB92" s="12"/>
      <c r="AC92" s="12"/>
      <c r="AD92" s="12"/>
    </row>
    <row r="93" spans="1:30" x14ac:dyDescent="0.25">
      <c r="A93" s="145">
        <v>98</v>
      </c>
      <c r="B93" s="146">
        <f>'tuot-INFO'!B93</f>
        <v>9990</v>
      </c>
      <c r="C93" s="147">
        <f>IF('tuot-VKO'!H94&gt;0,'tuot-VKO'!H94,IF('tuot-VKO'!I94&gt;0,'tuot-VKO'!I94*7*B93/1000, ))</f>
        <v>0</v>
      </c>
      <c r="D93" s="146">
        <f>IF('tuot-VKO'!I94&gt;0,'tuot-VKO'!I94,IF('tuot-VKO'!H94&gt;0,'tuot-VKO'!H94*1000/7/B93, ))</f>
        <v>0</v>
      </c>
      <c r="E93" s="146">
        <f>IF(C93&gt;0,SUM(C$10:C93), )</f>
        <v>0</v>
      </c>
      <c r="F93" s="146">
        <f>IF('tuot-VKO'!K94&gt;0,'tuot-VKO'!K94,IF('tuot-VKO'!J94&gt;0,'tuot-VKO'!J94*1000/7/B93, ))</f>
        <v>0</v>
      </c>
      <c r="G93" s="148">
        <f t="shared" si="10"/>
        <v>0</v>
      </c>
      <c r="H93" s="149">
        <f>IF($H$5&gt;0,IF('tuot-VKO'!D94&gt;0,IF('tuot-VKO'!F94&gt;0,C93/'tuot-VKO'!D94/'tuot-VKO'!F94*1000, ), ), )</f>
        <v>0</v>
      </c>
      <c r="I93" s="150">
        <f>IF($L$5&gt;0,IF('tuot-VKO'!D94&gt;0,IF('tuot-VKO'!F94&gt;0,E93/SUM('tuot-VKO'!D$11:D94)/'tuot-INFO'!L93*1000, ), ), )</f>
        <v>0</v>
      </c>
      <c r="J93" s="151">
        <f>'tuot-VKO'!G94/10</f>
        <v>0</v>
      </c>
      <c r="K93" s="96" t="str">
        <f t="shared" si="11"/>
        <v>175 - 185</v>
      </c>
      <c r="L93" s="150">
        <f>'tuot-VKO'!L94</f>
        <v>0</v>
      </c>
      <c r="M93" s="57">
        <f t="shared" si="12"/>
        <v>174.6</v>
      </c>
      <c r="N93" s="58">
        <f t="shared" si="13"/>
        <v>185.3</v>
      </c>
      <c r="O93" s="59">
        <f t="shared" si="9"/>
        <v>10.700000000000017</v>
      </c>
      <c r="P93" s="60">
        <f t="shared" si="15"/>
        <v>0</v>
      </c>
      <c r="Q93" s="60">
        <f t="shared" si="15"/>
        <v>0</v>
      </c>
      <c r="R93" s="61">
        <v>1746</v>
      </c>
      <c r="S93" s="61">
        <v>1853</v>
      </c>
      <c r="T93" s="61"/>
      <c r="U93" s="224"/>
      <c r="V93" s="12"/>
      <c r="W93" s="12"/>
      <c r="X93" s="12"/>
      <c r="Y93" s="12"/>
      <c r="Z93" s="12"/>
      <c r="AA93" s="12"/>
      <c r="AB93" s="12"/>
      <c r="AC93" s="12"/>
      <c r="AD93" s="12"/>
    </row>
    <row r="94" spans="1:30" x14ac:dyDescent="0.25">
      <c r="A94" s="145">
        <v>99</v>
      </c>
      <c r="B94" s="146">
        <f>'tuot-INFO'!B94</f>
        <v>9990</v>
      </c>
      <c r="C94" s="147">
        <f>IF('tuot-VKO'!H95&gt;0,'tuot-VKO'!H95,IF('tuot-VKO'!I95&gt;0,'tuot-VKO'!I95*7*B94/1000, ))</f>
        <v>0</v>
      </c>
      <c r="D94" s="146">
        <f>IF('tuot-VKO'!I95&gt;0,'tuot-VKO'!I95,IF('tuot-VKO'!H95&gt;0,'tuot-VKO'!H95*1000/7/B94, ))</f>
        <v>0</v>
      </c>
      <c r="E94" s="146">
        <f>IF(C94&gt;0,SUM(C$10:C94), )</f>
        <v>0</v>
      </c>
      <c r="F94" s="146">
        <f>IF('tuot-VKO'!K95&gt;0,'tuot-VKO'!K95,IF('tuot-VKO'!J95&gt;0,'tuot-VKO'!J95*1000/7/B94, ))</f>
        <v>0</v>
      </c>
      <c r="G94" s="148">
        <f t="shared" si="10"/>
        <v>0</v>
      </c>
      <c r="H94" s="149">
        <f>IF($H$5&gt;0,IF('tuot-VKO'!D95&gt;0,IF('tuot-VKO'!F95&gt;0,C94/'tuot-VKO'!D95/'tuot-VKO'!F95*1000, ), ), )</f>
        <v>0</v>
      </c>
      <c r="I94" s="150">
        <f>IF($L$5&gt;0,IF('tuot-VKO'!D95&gt;0,IF('tuot-VKO'!F95&gt;0,E94/SUM('tuot-VKO'!D$11:D95)/'tuot-INFO'!L94*1000, ), ), )</f>
        <v>0</v>
      </c>
      <c r="J94" s="151">
        <f>'tuot-VKO'!G95/10</f>
        <v>0</v>
      </c>
      <c r="K94" s="96" t="str">
        <f t="shared" si="11"/>
        <v>175 - 185</v>
      </c>
      <c r="L94" s="150">
        <f>'tuot-VKO'!L95</f>
        <v>0</v>
      </c>
      <c r="M94" s="57">
        <f t="shared" si="12"/>
        <v>174.6</v>
      </c>
      <c r="N94" s="58">
        <f t="shared" si="13"/>
        <v>185.3</v>
      </c>
      <c r="O94" s="59">
        <f t="shared" si="9"/>
        <v>10.700000000000017</v>
      </c>
      <c r="P94" s="60">
        <f t="shared" si="15"/>
        <v>0</v>
      </c>
      <c r="Q94" s="60">
        <f t="shared" si="15"/>
        <v>0</v>
      </c>
      <c r="R94" s="61">
        <v>1746</v>
      </c>
      <c r="S94" s="61">
        <v>1853</v>
      </c>
      <c r="T94" s="61"/>
      <c r="U94" s="224"/>
      <c r="V94" s="12"/>
      <c r="W94" s="12"/>
      <c r="X94" s="12"/>
      <c r="Y94" s="12"/>
      <c r="Z94" s="12"/>
      <c r="AA94" s="12"/>
      <c r="AB94" s="12"/>
      <c r="AC94" s="12"/>
      <c r="AD94" s="12"/>
    </row>
    <row r="95" spans="1:30" x14ac:dyDescent="0.25">
      <c r="A95" s="152">
        <v>100</v>
      </c>
      <c r="B95" s="153">
        <f>'tuot-INFO'!B95</f>
        <v>9990</v>
      </c>
      <c r="C95" s="154">
        <f>IF('tuot-VKO'!H96&gt;0,'tuot-VKO'!H96,IF('tuot-VKO'!I96&gt;0,'tuot-VKO'!I96*7*B95/1000, ))</f>
        <v>0</v>
      </c>
      <c r="D95" s="153">
        <f>IF('tuot-VKO'!I96&gt;0,'tuot-VKO'!I96,IF('tuot-VKO'!H96&gt;0,'tuot-VKO'!H96*1000/7/B95, ))</f>
        <v>0</v>
      </c>
      <c r="E95" s="153">
        <f>IF(C95&gt;0,SUM(C$10:C95), )</f>
        <v>0</v>
      </c>
      <c r="F95" s="153">
        <f>IF('tuot-VKO'!K96&gt;0,'tuot-VKO'!K96,IF('tuot-VKO'!J96&gt;0,'tuot-VKO'!J96*1000/7/B95, ))</f>
        <v>0</v>
      </c>
      <c r="G95" s="155">
        <f t="shared" si="10"/>
        <v>0</v>
      </c>
      <c r="H95" s="156">
        <f>IF($H$5&gt;0,IF('tuot-VKO'!D96&gt;0,IF('tuot-VKO'!F96&gt;0,C95/'tuot-VKO'!D96/'tuot-VKO'!F96*1000, ), ), )</f>
        <v>0</v>
      </c>
      <c r="I95" s="157">
        <f>IF($L$5&gt;0,IF('tuot-VKO'!D96&gt;0,IF('tuot-VKO'!F96&gt;0,E95/SUM('tuot-VKO'!D$11:D96)/'tuot-INFO'!L95*1000, ), ), )</f>
        <v>0</v>
      </c>
      <c r="J95" s="158">
        <f>'tuot-VKO'!G96/10</f>
        <v>0</v>
      </c>
      <c r="K95" s="106" t="str">
        <f t="shared" si="11"/>
        <v>175 - 185</v>
      </c>
      <c r="L95" s="157">
        <f>'tuot-VKO'!L96</f>
        <v>0</v>
      </c>
      <c r="M95" s="57">
        <f t="shared" si="12"/>
        <v>174.6</v>
      </c>
      <c r="N95" s="58">
        <f t="shared" si="13"/>
        <v>185.3</v>
      </c>
      <c r="O95" s="59">
        <f t="shared" si="9"/>
        <v>10.700000000000017</v>
      </c>
      <c r="P95" s="60">
        <f t="shared" si="15"/>
        <v>0</v>
      </c>
      <c r="Q95" s="60">
        <f t="shared" si="15"/>
        <v>0</v>
      </c>
      <c r="R95" s="61">
        <v>1746</v>
      </c>
      <c r="S95" s="61">
        <v>1853</v>
      </c>
      <c r="T95" s="61"/>
      <c r="U95" s="224"/>
      <c r="V95" s="12"/>
      <c r="W95" s="12"/>
      <c r="X95" s="12"/>
      <c r="Y95" s="12"/>
      <c r="Z95" s="12"/>
      <c r="AA95" s="12"/>
      <c r="AB95" s="12"/>
      <c r="AC95" s="12"/>
      <c r="AD95" s="12"/>
    </row>
    <row r="96" spans="1:30" x14ac:dyDescent="0.25">
      <c r="A96" s="145">
        <v>101</v>
      </c>
      <c r="B96" s="146">
        <f>'tuot-INFO'!B96</f>
        <v>9990</v>
      </c>
      <c r="C96" s="147">
        <f>IF('tuot-VKO'!H97&gt;0,'tuot-VKO'!H97,IF('tuot-VKO'!I97&gt;0,'tuot-VKO'!I97*7*B96/1000, ))</f>
        <v>0</v>
      </c>
      <c r="D96" s="146">
        <f>IF('tuot-VKO'!I97&gt;0,'tuot-VKO'!I97,IF('tuot-VKO'!H97&gt;0,'tuot-VKO'!H97*1000/7/B96, ))</f>
        <v>0</v>
      </c>
      <c r="E96" s="146">
        <f>IF(C96&gt;0,SUM(C$10:C96), )</f>
        <v>0</v>
      </c>
      <c r="F96" s="146">
        <f>IF('tuot-VKO'!K97&gt;0,'tuot-VKO'!K97,IF('tuot-VKO'!J97&gt;0,'tuot-VKO'!J97*1000/7/B96, ))</f>
        <v>0</v>
      </c>
      <c r="G96" s="148">
        <f t="shared" si="10"/>
        <v>0</v>
      </c>
      <c r="H96" s="149">
        <f>IF($H$5&gt;0,IF('tuot-VKO'!D97&gt;0,IF('tuot-VKO'!F97&gt;0,C96/'tuot-VKO'!D97/'tuot-VKO'!F97*1000, ), ), )</f>
        <v>0</v>
      </c>
      <c r="I96" s="150">
        <f>IF($L$5&gt;0,IF('tuot-VKO'!D97&gt;0,IF('tuot-VKO'!F97&gt;0,E96/SUM('tuot-VKO'!D$11:D97)/'tuot-INFO'!L96*1000, ), ), )</f>
        <v>0</v>
      </c>
      <c r="J96" s="151">
        <f>'tuot-VKO'!G97/10</f>
        <v>0</v>
      </c>
      <c r="K96" s="96" t="str">
        <f t="shared" si="11"/>
        <v>175 - 185</v>
      </c>
      <c r="L96" s="150">
        <f>'tuot-VKO'!L97</f>
        <v>0</v>
      </c>
      <c r="M96" s="57">
        <f t="shared" si="12"/>
        <v>174.6</v>
      </c>
      <c r="N96" s="58">
        <f t="shared" si="13"/>
        <v>185.3</v>
      </c>
      <c r="O96" s="59">
        <f t="shared" si="9"/>
        <v>10.700000000000017</v>
      </c>
      <c r="P96" s="60">
        <f t="shared" si="15"/>
        <v>0</v>
      </c>
      <c r="Q96" s="60">
        <f t="shared" si="15"/>
        <v>0</v>
      </c>
      <c r="R96" s="61">
        <v>1746</v>
      </c>
      <c r="S96" s="61">
        <v>1853</v>
      </c>
      <c r="T96" s="61"/>
      <c r="U96" s="224"/>
      <c r="V96" s="12"/>
      <c r="W96" s="12"/>
      <c r="X96" s="12"/>
      <c r="Y96" s="12"/>
      <c r="Z96" s="12"/>
      <c r="AA96" s="12"/>
      <c r="AB96" s="12"/>
      <c r="AC96" s="12"/>
      <c r="AD96" s="12"/>
    </row>
    <row r="97" spans="1:30" x14ac:dyDescent="0.25">
      <c r="A97" s="145">
        <v>102</v>
      </c>
      <c r="B97" s="146">
        <f>'tuot-INFO'!B97</f>
        <v>9990</v>
      </c>
      <c r="C97" s="147">
        <f>IF('tuot-VKO'!H98&gt;0,'tuot-VKO'!H98,IF('tuot-VKO'!I98&gt;0,'tuot-VKO'!I98*7*B97/1000, ))</f>
        <v>0</v>
      </c>
      <c r="D97" s="146">
        <f>IF('tuot-VKO'!I98&gt;0,'tuot-VKO'!I98,IF('tuot-VKO'!H98&gt;0,'tuot-VKO'!H98*1000/7/B97, ))</f>
        <v>0</v>
      </c>
      <c r="E97" s="146">
        <f>IF(C97&gt;0,SUM(C$10:C97), )</f>
        <v>0</v>
      </c>
      <c r="F97" s="146">
        <f>IF('tuot-VKO'!K98&gt;0,'tuot-VKO'!K98,IF('tuot-VKO'!J98&gt;0,'tuot-VKO'!J98*1000/7/B97, ))</f>
        <v>0</v>
      </c>
      <c r="G97" s="148">
        <f t="shared" si="10"/>
        <v>0</v>
      </c>
      <c r="H97" s="149">
        <f>IF($H$5&gt;0,IF('tuot-VKO'!D98&gt;0,IF('tuot-VKO'!F98&gt;0,C97/'tuot-VKO'!D98/'tuot-VKO'!F98*1000, ), ), )</f>
        <v>0</v>
      </c>
      <c r="I97" s="150">
        <f>IF($L$5&gt;0,IF('tuot-VKO'!D98&gt;0,IF('tuot-VKO'!F98&gt;0,E97/SUM('tuot-VKO'!D$11:D98)/'tuot-INFO'!L97*1000, ), ), )</f>
        <v>0</v>
      </c>
      <c r="J97" s="151">
        <f>'tuot-VKO'!G98/10</f>
        <v>0</v>
      </c>
      <c r="K97" s="96" t="str">
        <f t="shared" si="11"/>
        <v>175 - 185</v>
      </c>
      <c r="L97" s="150">
        <f>'tuot-VKO'!L98</f>
        <v>0</v>
      </c>
      <c r="M97" s="57">
        <f t="shared" si="12"/>
        <v>174.6</v>
      </c>
      <c r="N97" s="58">
        <f t="shared" si="13"/>
        <v>185.3</v>
      </c>
      <c r="O97" s="59">
        <f t="shared" si="9"/>
        <v>10.700000000000017</v>
      </c>
      <c r="P97" s="60">
        <f t="shared" si="15"/>
        <v>0</v>
      </c>
      <c r="Q97" s="60">
        <f t="shared" si="15"/>
        <v>0</v>
      </c>
      <c r="R97" s="61">
        <v>1746</v>
      </c>
      <c r="S97" s="61">
        <v>1853</v>
      </c>
      <c r="T97" s="61"/>
      <c r="U97" s="224"/>
      <c r="V97" s="12"/>
      <c r="W97" s="12"/>
      <c r="X97" s="12"/>
      <c r="Y97" s="12"/>
      <c r="Z97" s="12"/>
      <c r="AA97" s="12"/>
      <c r="AB97" s="12"/>
      <c r="AC97" s="12"/>
      <c r="AD97" s="12"/>
    </row>
    <row r="98" spans="1:30" x14ac:dyDescent="0.25">
      <c r="A98" s="145">
        <v>103</v>
      </c>
      <c r="B98" s="146">
        <f>'tuot-INFO'!B98</f>
        <v>9990</v>
      </c>
      <c r="C98" s="147">
        <f>IF('tuot-VKO'!H99&gt;0,'tuot-VKO'!H99,IF('tuot-VKO'!I99&gt;0,'tuot-VKO'!I99*7*B98/1000, ))</f>
        <v>0</v>
      </c>
      <c r="D98" s="146">
        <f>IF('tuot-VKO'!I99&gt;0,'tuot-VKO'!I99,IF('tuot-VKO'!H99&gt;0,'tuot-VKO'!H99*1000/7/B98, ))</f>
        <v>0</v>
      </c>
      <c r="E98" s="146">
        <f>IF(C98&gt;0,SUM(C$10:C98), )</f>
        <v>0</v>
      </c>
      <c r="F98" s="146">
        <f>IF('tuot-VKO'!K99&gt;0,'tuot-VKO'!K99,IF('tuot-VKO'!J99&gt;0,'tuot-VKO'!J99*1000/7/B98, ))</f>
        <v>0</v>
      </c>
      <c r="G98" s="148">
        <f t="shared" si="10"/>
        <v>0</v>
      </c>
      <c r="H98" s="149">
        <f>IF($H$5&gt;0,IF('tuot-VKO'!D99&gt;0,IF('tuot-VKO'!F99&gt;0,C98/'tuot-VKO'!D99/'tuot-VKO'!F99*1000, ), ), )</f>
        <v>0</v>
      </c>
      <c r="I98" s="150">
        <f>IF($L$5&gt;0,IF('tuot-VKO'!D99&gt;0,IF('tuot-VKO'!F99&gt;0,E98/SUM('tuot-VKO'!D$11:D99)/'tuot-INFO'!L98*1000, ), ), )</f>
        <v>0</v>
      </c>
      <c r="J98" s="151">
        <f>'tuot-VKO'!G99/10</f>
        <v>0</v>
      </c>
      <c r="K98" s="96" t="str">
        <f t="shared" si="11"/>
        <v>175 - 185</v>
      </c>
      <c r="L98" s="150">
        <f>'tuot-VKO'!L99</f>
        <v>0</v>
      </c>
      <c r="M98" s="57">
        <f t="shared" si="12"/>
        <v>174.6</v>
      </c>
      <c r="N98" s="58">
        <f t="shared" si="13"/>
        <v>185.3</v>
      </c>
      <c r="O98" s="59">
        <f t="shared" si="9"/>
        <v>10.700000000000017</v>
      </c>
      <c r="P98" s="60">
        <f t="shared" si="15"/>
        <v>0</v>
      </c>
      <c r="Q98" s="60">
        <f t="shared" si="15"/>
        <v>0</v>
      </c>
      <c r="R98" s="61">
        <v>1746</v>
      </c>
      <c r="S98" s="61">
        <v>1853</v>
      </c>
      <c r="T98" s="61"/>
      <c r="U98" s="224"/>
      <c r="V98" s="12"/>
      <c r="W98" s="12"/>
      <c r="X98" s="12"/>
      <c r="Y98" s="12"/>
      <c r="Z98" s="12"/>
      <c r="AA98" s="12"/>
      <c r="AB98" s="12"/>
      <c r="AC98" s="12"/>
      <c r="AD98" s="12"/>
    </row>
    <row r="99" spans="1:30" x14ac:dyDescent="0.25">
      <c r="A99" s="145">
        <v>104</v>
      </c>
      <c r="B99" s="146">
        <f>'tuot-INFO'!B99</f>
        <v>9990</v>
      </c>
      <c r="C99" s="147">
        <f>IF('tuot-VKO'!H100&gt;0,'tuot-VKO'!H100,IF('tuot-VKO'!I100&gt;0,'tuot-VKO'!I100*7*B99/1000, ))</f>
        <v>0</v>
      </c>
      <c r="D99" s="146">
        <f>IF('tuot-VKO'!I100&gt;0,'tuot-VKO'!I100,IF('tuot-VKO'!H100&gt;0,'tuot-VKO'!H100*1000/7/B99, ))</f>
        <v>0</v>
      </c>
      <c r="E99" s="146">
        <f>IF(C99&gt;0,SUM(C$10:C99), )</f>
        <v>0</v>
      </c>
      <c r="F99" s="146">
        <f>IF('tuot-VKO'!K100&gt;0,'tuot-VKO'!K100,IF('tuot-VKO'!J100&gt;0,'tuot-VKO'!J100*1000/7/B99, ))</f>
        <v>0</v>
      </c>
      <c r="G99" s="148">
        <f t="shared" si="10"/>
        <v>0</v>
      </c>
      <c r="H99" s="149">
        <f>IF($H$5&gt;0,IF('tuot-VKO'!D100&gt;0,IF('tuot-VKO'!F100&gt;0,C99/'tuot-VKO'!D100/'tuot-VKO'!F100*1000, ), ), )</f>
        <v>0</v>
      </c>
      <c r="I99" s="150">
        <f>IF($L$5&gt;0,IF('tuot-VKO'!D100&gt;0,IF('tuot-VKO'!F100&gt;0,E99/SUM('tuot-VKO'!D$11:D100)/'tuot-INFO'!L99*1000, ), ), )</f>
        <v>0</v>
      </c>
      <c r="J99" s="151">
        <f>'tuot-VKO'!G100/10</f>
        <v>0</v>
      </c>
      <c r="K99" s="96" t="str">
        <f t="shared" si="11"/>
        <v>175 - 185</v>
      </c>
      <c r="L99" s="150">
        <f>'tuot-VKO'!L100</f>
        <v>0</v>
      </c>
      <c r="M99" s="57">
        <f t="shared" si="12"/>
        <v>174.6</v>
      </c>
      <c r="N99" s="58">
        <f t="shared" si="13"/>
        <v>185.3</v>
      </c>
      <c r="O99" s="59">
        <f t="shared" si="9"/>
        <v>10.700000000000017</v>
      </c>
      <c r="P99" s="60">
        <f t="shared" si="15"/>
        <v>0</v>
      </c>
      <c r="Q99" s="60">
        <f t="shared" si="15"/>
        <v>0</v>
      </c>
      <c r="R99" s="61">
        <v>1746</v>
      </c>
      <c r="S99" s="61">
        <v>1853</v>
      </c>
      <c r="T99" s="61"/>
      <c r="U99" s="224"/>
      <c r="V99" s="12"/>
      <c r="W99" s="12"/>
      <c r="X99" s="12"/>
      <c r="Y99" s="12"/>
      <c r="Z99" s="12"/>
      <c r="AA99" s="12"/>
      <c r="AB99" s="12"/>
      <c r="AC99" s="12"/>
      <c r="AD99" s="12"/>
    </row>
    <row r="100" spans="1:30" x14ac:dyDescent="0.25">
      <c r="A100" s="152">
        <v>105</v>
      </c>
      <c r="B100" s="153">
        <f>'tuot-INFO'!B100</f>
        <v>9990</v>
      </c>
      <c r="C100" s="154">
        <f>IF('tuot-VKO'!H101&gt;0,'tuot-VKO'!H101,IF('tuot-VKO'!I101&gt;0,'tuot-VKO'!I101*7*B100/1000, ))</f>
        <v>0</v>
      </c>
      <c r="D100" s="153">
        <f>IF('tuot-VKO'!I101&gt;0,'tuot-VKO'!I101,IF('tuot-VKO'!H101&gt;0,'tuot-VKO'!H101*1000/7/B100, ))</f>
        <v>0</v>
      </c>
      <c r="E100" s="153">
        <f>IF(C100&gt;0,SUM(C$10:C100), )</f>
        <v>0</v>
      </c>
      <c r="F100" s="153">
        <f>IF('tuot-VKO'!K101&gt;0,'tuot-VKO'!K101,IF('tuot-VKO'!J101&gt;0,'tuot-VKO'!J101*1000/7/B100, ))</f>
        <v>0</v>
      </c>
      <c r="G100" s="155">
        <f t="shared" si="10"/>
        <v>0</v>
      </c>
      <c r="H100" s="156">
        <f>IF($H$5&gt;0,IF('tuot-VKO'!D101&gt;0,IF('tuot-VKO'!F101&gt;0,C100/'tuot-VKO'!D101/'tuot-VKO'!F101*1000, ), ), )</f>
        <v>0</v>
      </c>
      <c r="I100" s="157">
        <f>IF($L$5&gt;0,IF('tuot-VKO'!D101&gt;0,IF('tuot-VKO'!F101&gt;0,E100/SUM('tuot-VKO'!D$11:D101)/'tuot-INFO'!L100*1000, ), ), )</f>
        <v>0</v>
      </c>
      <c r="J100" s="158">
        <f>'tuot-VKO'!G101/10</f>
        <v>0</v>
      </c>
      <c r="K100" s="106" t="str">
        <f t="shared" si="11"/>
        <v>175 - 185</v>
      </c>
      <c r="L100" s="157">
        <f>'tuot-VKO'!L101</f>
        <v>0</v>
      </c>
      <c r="M100" s="57">
        <f t="shared" si="12"/>
        <v>174.6</v>
      </c>
      <c r="N100" s="58">
        <f t="shared" si="13"/>
        <v>185.3</v>
      </c>
      <c r="O100" s="59">
        <f t="shared" si="9"/>
        <v>10.700000000000017</v>
      </c>
      <c r="P100" s="60">
        <f t="shared" si="15"/>
        <v>0</v>
      </c>
      <c r="Q100" s="60">
        <f t="shared" si="15"/>
        <v>0</v>
      </c>
      <c r="R100" s="61">
        <v>1746</v>
      </c>
      <c r="S100" s="61">
        <v>1853</v>
      </c>
      <c r="T100" s="61"/>
      <c r="U100" s="224"/>
      <c r="V100" s="12"/>
      <c r="W100" s="12"/>
      <c r="X100" s="12"/>
      <c r="Y100" s="12"/>
      <c r="Z100" s="12"/>
      <c r="AA100" s="12"/>
      <c r="AB100" s="12"/>
      <c r="AC100" s="12"/>
      <c r="AD100" s="12"/>
    </row>
    <row r="101" spans="1:30" x14ac:dyDescent="0.25">
      <c r="A101" s="145">
        <v>106</v>
      </c>
      <c r="B101" s="146">
        <f>'tuot-INFO'!B101</f>
        <v>9990</v>
      </c>
      <c r="C101" s="147">
        <f>IF('tuot-VKO'!H102&gt;0,'tuot-VKO'!H102,IF('tuot-VKO'!I102&gt;0,'tuot-VKO'!I102*7*B101/1000, ))</f>
        <v>0</v>
      </c>
      <c r="D101" s="146">
        <f>IF('tuot-VKO'!I102&gt;0,'tuot-VKO'!I102,IF('tuot-VKO'!H102&gt;0,'tuot-VKO'!H102*1000/7/B101, ))</f>
        <v>0</v>
      </c>
      <c r="E101" s="146">
        <f>IF(C101&gt;0,SUM(C$10:C101), )</f>
        <v>0</v>
      </c>
      <c r="F101" s="146">
        <f>IF('tuot-VKO'!K102&gt;0,'tuot-VKO'!K102,IF('tuot-VKO'!J102&gt;0,'tuot-VKO'!J102*1000/7/B101, ))</f>
        <v>0</v>
      </c>
      <c r="G101" s="148">
        <f t="shared" si="10"/>
        <v>0</v>
      </c>
      <c r="H101" s="149">
        <f>IF($H$5&gt;0,IF('tuot-VKO'!D102&gt;0,IF('tuot-VKO'!F102&gt;0,C101/'tuot-VKO'!D102/'tuot-VKO'!F102*1000, ), ), )</f>
        <v>0</v>
      </c>
      <c r="I101" s="150">
        <f>IF($L$5&gt;0,IF('tuot-VKO'!D102&gt;0,IF('tuot-VKO'!F102&gt;0,E101/SUM('tuot-VKO'!D$11:D102)/'tuot-INFO'!L101*1000, ), ), )</f>
        <v>0</v>
      </c>
      <c r="J101" s="151">
        <f>'tuot-VKO'!G102/10</f>
        <v>0</v>
      </c>
      <c r="K101" s="96" t="str">
        <f t="shared" si="11"/>
        <v>175 - 185</v>
      </c>
      <c r="L101" s="150">
        <f>'tuot-VKO'!L102</f>
        <v>0</v>
      </c>
      <c r="M101" s="57">
        <f t="shared" si="12"/>
        <v>174.6</v>
      </c>
      <c r="N101" s="58">
        <f t="shared" si="13"/>
        <v>185.3</v>
      </c>
      <c r="O101" s="59">
        <f t="shared" si="9"/>
        <v>10.700000000000017</v>
      </c>
      <c r="P101" s="60">
        <f t="shared" si="15"/>
        <v>0</v>
      </c>
      <c r="Q101" s="60">
        <f t="shared" si="15"/>
        <v>0</v>
      </c>
      <c r="R101" s="61">
        <v>1746</v>
      </c>
      <c r="S101" s="61">
        <v>1853</v>
      </c>
      <c r="T101" s="61"/>
      <c r="U101" s="224"/>
      <c r="V101" s="12"/>
      <c r="W101" s="12"/>
      <c r="X101" s="12"/>
      <c r="Y101" s="12"/>
      <c r="Z101" s="12"/>
      <c r="AA101" s="12"/>
      <c r="AB101" s="12"/>
      <c r="AC101" s="12"/>
      <c r="AD101" s="12"/>
    </row>
    <row r="102" spans="1:30" x14ac:dyDescent="0.25">
      <c r="A102" s="145">
        <v>107</v>
      </c>
      <c r="B102" s="146">
        <f>'tuot-INFO'!B102</f>
        <v>9990</v>
      </c>
      <c r="C102" s="147">
        <f>IF('tuot-VKO'!H103&gt;0,'tuot-VKO'!H103,IF('tuot-VKO'!I103&gt;0,'tuot-VKO'!I103*7*B102/1000, ))</f>
        <v>0</v>
      </c>
      <c r="D102" s="146">
        <f>IF('tuot-VKO'!I103&gt;0,'tuot-VKO'!I103,IF('tuot-VKO'!H103&gt;0,'tuot-VKO'!H103*1000/7/B102, ))</f>
        <v>0</v>
      </c>
      <c r="E102" s="146">
        <f>IF(C102&gt;0,SUM(C$10:C102), )</f>
        <v>0</v>
      </c>
      <c r="F102" s="146">
        <f>IF('tuot-VKO'!K103&gt;0,'tuot-VKO'!K103,IF('tuot-VKO'!J103&gt;0,'tuot-VKO'!J103*1000/7/B102, ))</f>
        <v>0</v>
      </c>
      <c r="G102" s="148">
        <f t="shared" si="10"/>
        <v>0</v>
      </c>
      <c r="H102" s="149">
        <f>IF($H$5&gt;0,IF('tuot-VKO'!D103&gt;0,IF('tuot-VKO'!F103&gt;0,C102/'tuot-VKO'!D103/'tuot-VKO'!F103*1000, ), ), )</f>
        <v>0</v>
      </c>
      <c r="I102" s="150">
        <f>IF($L$5&gt;0,IF('tuot-VKO'!D103&gt;0,IF('tuot-VKO'!F103&gt;0,E102/SUM('tuot-VKO'!D$11:D103)/'tuot-INFO'!L102*1000, ), ), )</f>
        <v>0</v>
      </c>
      <c r="J102" s="151">
        <f>'tuot-VKO'!G103/10</f>
        <v>0</v>
      </c>
      <c r="K102" s="96" t="str">
        <f t="shared" si="11"/>
        <v>175 - 185</v>
      </c>
      <c r="L102" s="150">
        <f>'tuot-VKO'!L103</f>
        <v>0</v>
      </c>
      <c r="M102" s="57">
        <f t="shared" si="12"/>
        <v>174.6</v>
      </c>
      <c r="N102" s="58">
        <f t="shared" si="13"/>
        <v>185.3</v>
      </c>
      <c r="O102" s="59">
        <f t="shared" si="9"/>
        <v>10.700000000000017</v>
      </c>
      <c r="P102" s="60">
        <f t="shared" si="15"/>
        <v>0</v>
      </c>
      <c r="Q102" s="60">
        <f t="shared" si="15"/>
        <v>0</v>
      </c>
      <c r="R102" s="61">
        <v>1746</v>
      </c>
      <c r="S102" s="61">
        <v>1853</v>
      </c>
      <c r="T102" s="61"/>
      <c r="U102" s="224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1:30" x14ac:dyDescent="0.25">
      <c r="A103" s="145">
        <v>108</v>
      </c>
      <c r="B103" s="146">
        <f>'tuot-INFO'!B103</f>
        <v>9990</v>
      </c>
      <c r="C103" s="147">
        <f>IF('tuot-VKO'!H104&gt;0,'tuot-VKO'!H104,IF('tuot-VKO'!I104&gt;0,'tuot-VKO'!I104*7*B103/1000, ))</f>
        <v>0</v>
      </c>
      <c r="D103" s="146">
        <f>IF('tuot-VKO'!I104&gt;0,'tuot-VKO'!I104,IF('tuot-VKO'!H104&gt;0,'tuot-VKO'!H104*1000/7/B103, ))</f>
        <v>0</v>
      </c>
      <c r="E103" s="146">
        <f>IF(C103&gt;0,SUM(C$10:C103), )</f>
        <v>0</v>
      </c>
      <c r="F103" s="146">
        <f>IF('tuot-VKO'!K104&gt;0,'tuot-VKO'!K104,IF('tuot-VKO'!J104&gt;0,'tuot-VKO'!J104*1000/7/B103, ))</f>
        <v>0</v>
      </c>
      <c r="G103" s="148">
        <f t="shared" si="10"/>
        <v>0</v>
      </c>
      <c r="H103" s="149">
        <f>IF($H$5&gt;0,IF('tuot-VKO'!D104&gt;0,IF('tuot-VKO'!F104&gt;0,C103/'tuot-VKO'!D104/'tuot-VKO'!F104*1000, ), ), )</f>
        <v>0</v>
      </c>
      <c r="I103" s="150">
        <f>IF($L$5&gt;0,IF('tuot-VKO'!D104&gt;0,IF('tuot-VKO'!F104&gt;0,E103/SUM('tuot-VKO'!D$11:D104)/'tuot-INFO'!L103*1000, ), ), )</f>
        <v>0</v>
      </c>
      <c r="J103" s="151">
        <f>'tuot-VKO'!G104/10</f>
        <v>0</v>
      </c>
      <c r="K103" s="96" t="str">
        <f t="shared" si="11"/>
        <v>175 - 185</v>
      </c>
      <c r="L103" s="150">
        <f>'tuot-VKO'!L104</f>
        <v>0</v>
      </c>
      <c r="M103" s="57">
        <f t="shared" si="12"/>
        <v>174.6</v>
      </c>
      <c r="N103" s="58">
        <f t="shared" si="13"/>
        <v>185.3</v>
      </c>
      <c r="O103" s="59">
        <f t="shared" si="9"/>
        <v>10.700000000000017</v>
      </c>
      <c r="P103" s="60">
        <f t="shared" si="15"/>
        <v>0</v>
      </c>
      <c r="Q103" s="60">
        <f t="shared" si="15"/>
        <v>0</v>
      </c>
      <c r="R103" s="61">
        <v>1746</v>
      </c>
      <c r="S103" s="61">
        <v>1853</v>
      </c>
      <c r="T103" s="61"/>
      <c r="U103" s="224"/>
      <c r="V103" s="12"/>
      <c r="W103" s="12"/>
      <c r="X103" s="12"/>
      <c r="Y103" s="12"/>
      <c r="Z103" s="12"/>
      <c r="AA103" s="12"/>
      <c r="AB103" s="12"/>
      <c r="AC103" s="12"/>
      <c r="AD103" s="12"/>
    </row>
    <row r="104" spans="1:30" x14ac:dyDescent="0.25">
      <c r="A104" s="145">
        <v>109</v>
      </c>
      <c r="B104" s="146">
        <f>'tuot-INFO'!B104</f>
        <v>9990</v>
      </c>
      <c r="C104" s="147">
        <f>IF('tuot-VKO'!H105&gt;0,'tuot-VKO'!H105,IF('tuot-VKO'!I105&gt;0,'tuot-VKO'!I105*7*B104/1000, ))</f>
        <v>0</v>
      </c>
      <c r="D104" s="146">
        <f>IF('tuot-VKO'!I105&gt;0,'tuot-VKO'!I105,IF('tuot-VKO'!H105&gt;0,'tuot-VKO'!H105*1000/7/B104, ))</f>
        <v>0</v>
      </c>
      <c r="E104" s="146">
        <f>IF(C104&gt;0,SUM(C$10:C104), )</f>
        <v>0</v>
      </c>
      <c r="F104" s="146">
        <f>IF('tuot-VKO'!K105&gt;0,'tuot-VKO'!K105,IF('tuot-VKO'!J105&gt;0,'tuot-VKO'!J105*1000/7/B104, ))</f>
        <v>0</v>
      </c>
      <c r="G104" s="148">
        <f t="shared" si="10"/>
        <v>0</v>
      </c>
      <c r="H104" s="149">
        <f>IF($H$5&gt;0,IF('tuot-VKO'!D105&gt;0,IF('tuot-VKO'!F105&gt;0,C104/'tuot-VKO'!D105/'tuot-VKO'!F105*1000, ), ), )</f>
        <v>0</v>
      </c>
      <c r="I104" s="150">
        <f>IF($L$5&gt;0,IF('tuot-VKO'!D105&gt;0,IF('tuot-VKO'!F105&gt;0,E104/SUM('tuot-VKO'!D$11:D105)/'tuot-INFO'!L104*1000, ), ), )</f>
        <v>0</v>
      </c>
      <c r="J104" s="151">
        <f>'tuot-VKO'!G105/10</f>
        <v>0</v>
      </c>
      <c r="K104" s="96" t="str">
        <f t="shared" si="11"/>
        <v>175 - 185</v>
      </c>
      <c r="L104" s="150">
        <f>'tuot-VKO'!L105</f>
        <v>0</v>
      </c>
      <c r="M104" s="57">
        <f t="shared" si="12"/>
        <v>174.6</v>
      </c>
      <c r="N104" s="58">
        <f t="shared" si="13"/>
        <v>185.3</v>
      </c>
      <c r="O104" s="59">
        <f t="shared" si="9"/>
        <v>10.700000000000017</v>
      </c>
      <c r="P104" s="60">
        <f t="shared" si="15"/>
        <v>0</v>
      </c>
      <c r="Q104" s="60">
        <f t="shared" si="15"/>
        <v>0</v>
      </c>
      <c r="R104" s="61">
        <v>1746</v>
      </c>
      <c r="S104" s="61">
        <v>1853</v>
      </c>
      <c r="T104" s="61"/>
      <c r="U104" s="224"/>
      <c r="V104" s="12"/>
      <c r="W104" s="12"/>
      <c r="X104" s="12"/>
      <c r="Y104" s="12"/>
      <c r="Z104" s="12"/>
      <c r="AA104" s="12"/>
      <c r="AB104" s="12"/>
      <c r="AC104" s="12"/>
      <c r="AD104" s="12"/>
    </row>
    <row r="105" spans="1:30" x14ac:dyDescent="0.25">
      <c r="A105" s="152">
        <v>110</v>
      </c>
      <c r="B105" s="153">
        <f>'tuot-INFO'!B105</f>
        <v>9990</v>
      </c>
      <c r="C105" s="154">
        <f>IF('tuot-VKO'!H106&gt;0,'tuot-VKO'!H106,IF('tuot-VKO'!I106&gt;0,'tuot-VKO'!I106*7*B105/1000, ))</f>
        <v>0</v>
      </c>
      <c r="D105" s="153">
        <f>IF('tuot-VKO'!I106&gt;0,'tuot-VKO'!I106,IF('tuot-VKO'!H106&gt;0,'tuot-VKO'!H106*1000/7/B105, ))</f>
        <v>0</v>
      </c>
      <c r="E105" s="153">
        <f>IF(C105&gt;0,SUM(C$10:C105), )</f>
        <v>0</v>
      </c>
      <c r="F105" s="153">
        <f>IF('tuot-VKO'!K106&gt;0,'tuot-VKO'!K106,IF('tuot-VKO'!J106&gt;0,'tuot-VKO'!J106*1000/7/B105, ))</f>
        <v>0</v>
      </c>
      <c r="G105" s="155">
        <f t="shared" si="10"/>
        <v>0</v>
      </c>
      <c r="H105" s="156">
        <f>IF($H$5&gt;0,IF('tuot-VKO'!D106&gt;0,IF('tuot-VKO'!F106&gt;0,C105/'tuot-VKO'!D106/'tuot-VKO'!F106*1000, ), ), )</f>
        <v>0</v>
      </c>
      <c r="I105" s="157">
        <f>IF($L$5&gt;0,IF('tuot-VKO'!D106&gt;0,IF('tuot-VKO'!F106&gt;0,E105/SUM('tuot-VKO'!D$11:D106)/'tuot-INFO'!L105*1000, ), ), )</f>
        <v>0</v>
      </c>
      <c r="J105" s="158">
        <f>'tuot-VKO'!G106/10</f>
        <v>0</v>
      </c>
      <c r="K105" s="106" t="str">
        <f t="shared" si="11"/>
        <v>175 - 185</v>
      </c>
      <c r="L105" s="157">
        <f>'tuot-VKO'!L106</f>
        <v>0</v>
      </c>
      <c r="M105" s="57">
        <f t="shared" si="12"/>
        <v>174.6</v>
      </c>
      <c r="N105" s="58">
        <f t="shared" si="13"/>
        <v>185.3</v>
      </c>
      <c r="O105" s="59">
        <f t="shared" si="9"/>
        <v>10.700000000000017</v>
      </c>
      <c r="P105" s="60">
        <f t="shared" si="15"/>
        <v>0</v>
      </c>
      <c r="Q105" s="60">
        <f t="shared" si="15"/>
        <v>0</v>
      </c>
      <c r="R105" s="61">
        <v>1746</v>
      </c>
      <c r="S105" s="61">
        <v>1853</v>
      </c>
      <c r="T105" s="61"/>
      <c r="U105" s="224"/>
      <c r="V105" s="12"/>
      <c r="W105" s="12"/>
      <c r="X105" s="12"/>
      <c r="Y105" s="12"/>
      <c r="Z105" s="12"/>
      <c r="AA105" s="12"/>
      <c r="AB105" s="12"/>
      <c r="AC105" s="12"/>
      <c r="AD105" s="12"/>
    </row>
    <row r="106" spans="1:30" x14ac:dyDescent="0.25">
      <c r="A106" s="145">
        <v>111</v>
      </c>
      <c r="B106" s="146">
        <f>'tuot-INFO'!B106</f>
        <v>9990</v>
      </c>
      <c r="C106" s="147">
        <f>IF('tuot-VKO'!H107&gt;0,'tuot-VKO'!H107,IF('tuot-VKO'!I107&gt;0,'tuot-VKO'!I107*7*B106/1000, ))</f>
        <v>0</v>
      </c>
      <c r="D106" s="146">
        <f>IF('tuot-VKO'!I107&gt;0,'tuot-VKO'!I107,IF('tuot-VKO'!H107&gt;0,'tuot-VKO'!H107*1000/7/B106, ))</f>
        <v>0</v>
      </c>
      <c r="E106" s="146">
        <f>IF(C106&gt;0,SUM(C$10:C106), )</f>
        <v>0</v>
      </c>
      <c r="F106" s="146">
        <f>IF('tuot-VKO'!K107&gt;0,'tuot-VKO'!K107,IF('tuot-VKO'!J107&gt;0,'tuot-VKO'!J107*1000/7/B106, ))</f>
        <v>0</v>
      </c>
      <c r="G106" s="148">
        <f t="shared" si="10"/>
        <v>0</v>
      </c>
      <c r="H106" s="149">
        <f>IF($H$5&gt;0,IF('tuot-VKO'!D107&gt;0,IF('tuot-VKO'!F107&gt;0,C106/'tuot-VKO'!D107/'tuot-VKO'!F107*1000, ), ), )</f>
        <v>0</v>
      </c>
      <c r="I106" s="150">
        <f>IF($L$5&gt;0,IF('tuot-VKO'!D107&gt;0,IF('tuot-VKO'!F107&gt;0,E106/SUM('tuot-VKO'!D$11:D107)/'tuot-INFO'!L106*1000, ), ), )</f>
        <v>0</v>
      </c>
      <c r="J106" s="151">
        <f>'tuot-VKO'!G107/10</f>
        <v>0</v>
      </c>
      <c r="K106" s="96" t="str">
        <f t="shared" si="11"/>
        <v>175 - 185</v>
      </c>
      <c r="L106" s="150">
        <f>'tuot-VKO'!L107</f>
        <v>0</v>
      </c>
      <c r="M106" s="57">
        <f t="shared" si="12"/>
        <v>174.6</v>
      </c>
      <c r="N106" s="58">
        <f t="shared" si="13"/>
        <v>185.3</v>
      </c>
      <c r="O106" s="59">
        <f t="shared" si="9"/>
        <v>10.700000000000017</v>
      </c>
      <c r="P106" s="60">
        <f t="shared" si="15"/>
        <v>0</v>
      </c>
      <c r="Q106" s="60">
        <f>IF(I106&gt;0,I106,Q105)</f>
        <v>0</v>
      </c>
      <c r="R106" s="61">
        <v>1746</v>
      </c>
      <c r="S106" s="61">
        <v>1853</v>
      </c>
      <c r="T106" s="61"/>
      <c r="U106" s="224"/>
      <c r="V106" s="12"/>
      <c r="W106" s="12"/>
      <c r="X106" s="12"/>
      <c r="Y106" s="12"/>
      <c r="Z106" s="12"/>
      <c r="AA106" s="12"/>
      <c r="AB106" s="12"/>
      <c r="AC106" s="12"/>
      <c r="AD106" s="12"/>
    </row>
    <row r="107" spans="1:30" x14ac:dyDescent="0.25">
      <c r="A107" s="145">
        <v>112</v>
      </c>
      <c r="B107" s="146">
        <f>'tuot-INFO'!B107</f>
        <v>9990</v>
      </c>
      <c r="C107" s="147">
        <f>IF('tuot-VKO'!H108&gt;0,'tuot-VKO'!H108,IF('tuot-VKO'!I108&gt;0,'tuot-VKO'!I108*7*B107/1000, ))</f>
        <v>0</v>
      </c>
      <c r="D107" s="146">
        <f>IF('tuot-VKO'!I108&gt;0,'tuot-VKO'!I108,IF('tuot-VKO'!H108&gt;0,'tuot-VKO'!H108*1000/7/B107, ))</f>
        <v>0</v>
      </c>
      <c r="E107" s="146">
        <f>IF(C107&gt;0,SUM(C$10:C107), )</f>
        <v>0</v>
      </c>
      <c r="F107" s="146">
        <f>IF('tuot-VKO'!K108&gt;0,'tuot-VKO'!K108,IF('tuot-VKO'!J108&gt;0,'tuot-VKO'!J108*1000/7/B107, ))</f>
        <v>0</v>
      </c>
      <c r="G107" s="148">
        <f t="shared" si="10"/>
        <v>0</v>
      </c>
      <c r="H107" s="149">
        <f>IF($H$5&gt;0,IF('tuot-VKO'!D108&gt;0,IF('tuot-VKO'!F108&gt;0,C107/'tuot-VKO'!D108/'tuot-VKO'!F108*1000, ), ), )</f>
        <v>0</v>
      </c>
      <c r="I107" s="150">
        <f>IF($L$5&gt;0,IF('tuot-VKO'!D108&gt;0,IF('tuot-VKO'!F108&gt;0,E107/SUM('tuot-VKO'!D$11:D108)/'tuot-INFO'!L107*1000, ), ), )</f>
        <v>0</v>
      </c>
      <c r="J107" s="151">
        <f>'tuot-VKO'!G108/10</f>
        <v>0</v>
      </c>
      <c r="K107" s="96" t="str">
        <f t="shared" si="11"/>
        <v>175 - 185</v>
      </c>
      <c r="L107" s="150">
        <f>'tuot-VKO'!L108</f>
        <v>0</v>
      </c>
      <c r="M107" s="57">
        <f t="shared" si="12"/>
        <v>174.6</v>
      </c>
      <c r="N107" s="58">
        <f t="shared" si="13"/>
        <v>185.3</v>
      </c>
      <c r="O107" s="59">
        <f t="shared" si="9"/>
        <v>10.700000000000017</v>
      </c>
      <c r="P107" s="60">
        <f t="shared" ref="P107:Q115" si="16">IF(H107&gt;0,H107,P106)</f>
        <v>0</v>
      </c>
      <c r="Q107" s="60">
        <f t="shared" si="16"/>
        <v>0</v>
      </c>
      <c r="R107" s="61">
        <v>1746</v>
      </c>
      <c r="S107" s="61">
        <v>1853</v>
      </c>
      <c r="T107" s="61"/>
      <c r="U107" s="224"/>
      <c r="V107" s="12"/>
      <c r="W107" s="12"/>
      <c r="X107" s="12"/>
      <c r="Y107" s="12"/>
      <c r="Z107" s="12"/>
      <c r="AA107" s="12"/>
      <c r="AB107" s="12"/>
      <c r="AC107" s="12"/>
      <c r="AD107" s="12"/>
    </row>
    <row r="108" spans="1:30" x14ac:dyDescent="0.25">
      <c r="A108" s="145">
        <v>113</v>
      </c>
      <c r="B108" s="146">
        <f>'tuot-INFO'!B108</f>
        <v>9990</v>
      </c>
      <c r="C108" s="147">
        <f>IF('tuot-VKO'!H109&gt;0,'tuot-VKO'!H109,IF('tuot-VKO'!I109&gt;0,'tuot-VKO'!I109*7*B108/1000, ))</f>
        <v>0</v>
      </c>
      <c r="D108" s="146">
        <f>IF('tuot-VKO'!I109&gt;0,'tuot-VKO'!I109,IF('tuot-VKO'!H109&gt;0,'tuot-VKO'!H109*1000/7/B108, ))</f>
        <v>0</v>
      </c>
      <c r="E108" s="146">
        <f>IF(C108&gt;0,SUM(C$10:C108), )</f>
        <v>0</v>
      </c>
      <c r="F108" s="146">
        <f>IF('tuot-VKO'!K109&gt;0,'tuot-VKO'!K109,IF('tuot-VKO'!J109&gt;0,'tuot-VKO'!J109*1000/7/B108, ))</f>
        <v>0</v>
      </c>
      <c r="G108" s="148">
        <f t="shared" si="10"/>
        <v>0</v>
      </c>
      <c r="H108" s="149">
        <f>IF($H$5&gt;0,IF('tuot-VKO'!D109&gt;0,IF('tuot-VKO'!F109&gt;0,C108/'tuot-VKO'!D109/'tuot-VKO'!F109*1000, ), ), )</f>
        <v>0</v>
      </c>
      <c r="I108" s="150">
        <f>IF($L$5&gt;0,IF('tuot-VKO'!D109&gt;0,IF('tuot-VKO'!F109&gt;0,E108/SUM('tuot-VKO'!D$11:D109)/'tuot-INFO'!L108*1000, ), ), )</f>
        <v>0</v>
      </c>
      <c r="J108" s="151">
        <f>'tuot-VKO'!G109/10</f>
        <v>0</v>
      </c>
      <c r="K108" s="96" t="str">
        <f t="shared" si="11"/>
        <v>175 - 185</v>
      </c>
      <c r="L108" s="150">
        <f>'tuot-VKO'!L109</f>
        <v>0</v>
      </c>
      <c r="M108" s="57">
        <f t="shared" si="12"/>
        <v>174.6</v>
      </c>
      <c r="N108" s="58">
        <f t="shared" si="13"/>
        <v>185.3</v>
      </c>
      <c r="O108" s="59">
        <f t="shared" si="9"/>
        <v>10.700000000000017</v>
      </c>
      <c r="P108" s="60">
        <f t="shared" si="16"/>
        <v>0</v>
      </c>
      <c r="Q108" s="60">
        <f t="shared" si="16"/>
        <v>0</v>
      </c>
      <c r="R108" s="61">
        <v>1746</v>
      </c>
      <c r="S108" s="61">
        <v>1853</v>
      </c>
      <c r="T108" s="61"/>
      <c r="U108" s="224"/>
      <c r="V108" s="12"/>
      <c r="W108" s="12"/>
      <c r="X108" s="12"/>
      <c r="Y108" s="12"/>
      <c r="Z108" s="12"/>
      <c r="AA108" s="12"/>
      <c r="AB108" s="12"/>
      <c r="AC108" s="12"/>
      <c r="AD108" s="12"/>
    </row>
    <row r="109" spans="1:30" x14ac:dyDescent="0.25">
      <c r="A109" s="145">
        <v>114</v>
      </c>
      <c r="B109" s="146">
        <f>'tuot-INFO'!B109</f>
        <v>9990</v>
      </c>
      <c r="C109" s="147">
        <f>IF('tuot-VKO'!H110&gt;0,'tuot-VKO'!H110,IF('tuot-VKO'!I110&gt;0,'tuot-VKO'!I110*7*B109/1000, ))</f>
        <v>0</v>
      </c>
      <c r="D109" s="146">
        <f>IF('tuot-VKO'!I110&gt;0,'tuot-VKO'!I110,IF('tuot-VKO'!H110&gt;0,'tuot-VKO'!H110*1000/7/B109, ))</f>
        <v>0</v>
      </c>
      <c r="E109" s="146">
        <f>IF(C109&gt;0,SUM(C$10:C109), )</f>
        <v>0</v>
      </c>
      <c r="F109" s="146">
        <f>IF('tuot-VKO'!K110&gt;0,'tuot-VKO'!K110,IF('tuot-VKO'!J110&gt;0,'tuot-VKO'!J110*1000/7/B109, ))</f>
        <v>0</v>
      </c>
      <c r="G109" s="148">
        <f t="shared" si="10"/>
        <v>0</v>
      </c>
      <c r="H109" s="149">
        <f>IF($H$5&gt;0,IF('tuot-VKO'!D110&gt;0,IF('tuot-VKO'!F110&gt;0,C109/'tuot-VKO'!D110/'tuot-VKO'!F110*1000, ), ), )</f>
        <v>0</v>
      </c>
      <c r="I109" s="150">
        <f>IF($L$5&gt;0,IF('tuot-VKO'!D110&gt;0,IF('tuot-VKO'!F110&gt;0,E109/SUM('tuot-VKO'!D$11:D110)/'tuot-INFO'!L109*1000, ), ), )</f>
        <v>0</v>
      </c>
      <c r="J109" s="151">
        <f>'tuot-VKO'!G110/10</f>
        <v>0</v>
      </c>
      <c r="K109" s="96" t="str">
        <f t="shared" si="11"/>
        <v>175 - 185</v>
      </c>
      <c r="L109" s="150">
        <f>'tuot-VKO'!L110</f>
        <v>0</v>
      </c>
      <c r="M109" s="57">
        <f t="shared" si="12"/>
        <v>174.6</v>
      </c>
      <c r="N109" s="58">
        <f t="shared" si="13"/>
        <v>185.3</v>
      </c>
      <c r="O109" s="59">
        <f t="shared" si="9"/>
        <v>10.700000000000017</v>
      </c>
      <c r="P109" s="60">
        <f t="shared" si="16"/>
        <v>0</v>
      </c>
      <c r="Q109" s="60">
        <f t="shared" si="16"/>
        <v>0</v>
      </c>
      <c r="R109" s="61">
        <v>1746</v>
      </c>
      <c r="S109" s="61">
        <v>1853</v>
      </c>
      <c r="T109" s="61"/>
      <c r="U109" s="224"/>
      <c r="V109" s="12"/>
      <c r="W109" s="12"/>
      <c r="X109" s="12"/>
      <c r="Y109" s="12"/>
      <c r="Z109" s="12"/>
      <c r="AA109" s="12"/>
      <c r="AB109" s="12"/>
      <c r="AC109" s="12"/>
      <c r="AD109" s="12"/>
    </row>
    <row r="110" spans="1:30" x14ac:dyDescent="0.25">
      <c r="A110" s="152">
        <v>115</v>
      </c>
      <c r="B110" s="153">
        <f>'tuot-INFO'!B110</f>
        <v>9990</v>
      </c>
      <c r="C110" s="154">
        <f>IF('tuot-VKO'!H111&gt;0,'tuot-VKO'!H111,IF('tuot-VKO'!I111&gt;0,'tuot-VKO'!I111*7*B110/1000, ))</f>
        <v>0</v>
      </c>
      <c r="D110" s="153">
        <f>IF('tuot-VKO'!I111&gt;0,'tuot-VKO'!I111,IF('tuot-VKO'!H111&gt;0,'tuot-VKO'!H111*1000/7/B110, ))</f>
        <v>0</v>
      </c>
      <c r="E110" s="153">
        <f>IF(C110&gt;0,SUM(C$10:C110), )</f>
        <v>0</v>
      </c>
      <c r="F110" s="153">
        <f>IF('tuot-VKO'!K111&gt;0,'tuot-VKO'!K111,IF('tuot-VKO'!J111&gt;0,'tuot-VKO'!J111*1000/7/B110, ))</f>
        <v>0</v>
      </c>
      <c r="G110" s="155">
        <f t="shared" si="10"/>
        <v>0</v>
      </c>
      <c r="H110" s="156">
        <f>IF($H$5&gt;0,IF('tuot-VKO'!D111&gt;0,IF('tuot-VKO'!F111&gt;0,C110/'tuot-VKO'!D111/'tuot-VKO'!F111*1000, ), ), )</f>
        <v>0</v>
      </c>
      <c r="I110" s="157">
        <f>IF($L$5&gt;0,IF('tuot-VKO'!D111&gt;0,IF('tuot-VKO'!F111&gt;0,E110/SUM('tuot-VKO'!D$11:D111)/'tuot-INFO'!L110*1000, ), ), )</f>
        <v>0</v>
      </c>
      <c r="J110" s="158">
        <f>'tuot-VKO'!G111/10</f>
        <v>0</v>
      </c>
      <c r="K110" s="106" t="str">
        <f t="shared" si="11"/>
        <v>175 - 185</v>
      </c>
      <c r="L110" s="157">
        <f>'tuot-VKO'!L111</f>
        <v>0</v>
      </c>
      <c r="M110" s="57">
        <f t="shared" si="12"/>
        <v>174.6</v>
      </c>
      <c r="N110" s="58">
        <f t="shared" si="13"/>
        <v>185.3</v>
      </c>
      <c r="O110" s="59">
        <f t="shared" si="9"/>
        <v>10.700000000000017</v>
      </c>
      <c r="P110" s="60">
        <f t="shared" si="16"/>
        <v>0</v>
      </c>
      <c r="Q110" s="60">
        <f t="shared" si="16"/>
        <v>0</v>
      </c>
      <c r="R110" s="61">
        <v>1746</v>
      </c>
      <c r="S110" s="61">
        <v>1853</v>
      </c>
      <c r="T110" s="61"/>
      <c r="U110" s="224"/>
      <c r="V110" s="12"/>
      <c r="W110" s="12"/>
      <c r="X110" s="12"/>
      <c r="Y110" s="12"/>
      <c r="Z110" s="12"/>
      <c r="AA110" s="12"/>
      <c r="AB110" s="12"/>
      <c r="AC110" s="12"/>
      <c r="AD110" s="12"/>
    </row>
    <row r="111" spans="1:30" x14ac:dyDescent="0.25">
      <c r="A111" s="145">
        <v>116</v>
      </c>
      <c r="B111" s="146">
        <f>'tuot-INFO'!B111</f>
        <v>9990</v>
      </c>
      <c r="C111" s="147">
        <f>IF('tuot-VKO'!H112&gt;0,'tuot-VKO'!H112,IF('tuot-VKO'!I112&gt;0,'tuot-VKO'!I112*7*B111/1000, ))</f>
        <v>0</v>
      </c>
      <c r="D111" s="146">
        <f>IF('tuot-VKO'!I112&gt;0,'tuot-VKO'!I112,IF('tuot-VKO'!H112&gt;0,'tuot-VKO'!H112*1000/7/B111, ))</f>
        <v>0</v>
      </c>
      <c r="E111" s="146">
        <f>IF(C111&gt;0,SUM(C$10:C111), )</f>
        <v>0</v>
      </c>
      <c r="F111" s="146">
        <f>IF('tuot-VKO'!K112&gt;0,'tuot-VKO'!K112,IF('tuot-VKO'!J112&gt;0,'tuot-VKO'!J112*1000/7/B111, ))</f>
        <v>0</v>
      </c>
      <c r="G111" s="148">
        <f t="shared" si="10"/>
        <v>0</v>
      </c>
      <c r="H111" s="149">
        <f>IF($H$5&gt;0,IF('tuot-VKO'!D112&gt;0,IF('tuot-VKO'!F112&gt;0,C111/'tuot-VKO'!D112/'tuot-VKO'!F112*1000, ), ), )</f>
        <v>0</v>
      </c>
      <c r="I111" s="150">
        <f>IF($L$5&gt;0,IF('tuot-VKO'!D112&gt;0,IF('tuot-VKO'!F112&gt;0,E111/SUM('tuot-VKO'!D$11:D112)/'tuot-INFO'!L111*1000, ), ), )</f>
        <v>0</v>
      </c>
      <c r="J111" s="151">
        <f>'tuot-VKO'!G112/10</f>
        <v>0</v>
      </c>
      <c r="K111" s="96" t="str">
        <f t="shared" si="11"/>
        <v>175 - 185</v>
      </c>
      <c r="L111" s="150">
        <f>'tuot-VKO'!L112</f>
        <v>0</v>
      </c>
      <c r="M111" s="57">
        <f t="shared" si="12"/>
        <v>174.6</v>
      </c>
      <c r="N111" s="58">
        <f t="shared" si="13"/>
        <v>185.3</v>
      </c>
      <c r="O111" s="59">
        <f t="shared" si="9"/>
        <v>10.700000000000017</v>
      </c>
      <c r="P111" s="60">
        <f t="shared" si="16"/>
        <v>0</v>
      </c>
      <c r="Q111" s="60">
        <f t="shared" si="16"/>
        <v>0</v>
      </c>
      <c r="R111" s="61">
        <v>1746</v>
      </c>
      <c r="S111" s="61">
        <v>1853</v>
      </c>
      <c r="T111" s="61"/>
      <c r="U111" s="224"/>
      <c r="V111" s="12"/>
      <c r="W111" s="12"/>
      <c r="X111" s="12"/>
      <c r="Y111" s="12"/>
      <c r="Z111" s="12"/>
      <c r="AA111" s="12"/>
      <c r="AB111" s="12"/>
      <c r="AC111" s="12"/>
      <c r="AD111" s="12"/>
    </row>
    <row r="112" spans="1:30" x14ac:dyDescent="0.25">
      <c r="A112" s="145">
        <v>117</v>
      </c>
      <c r="B112" s="146">
        <f>'tuot-INFO'!B112</f>
        <v>9990</v>
      </c>
      <c r="C112" s="147">
        <f>IF('tuot-VKO'!H113&gt;0,'tuot-VKO'!H113,IF('tuot-VKO'!I113&gt;0,'tuot-VKO'!I113*7*B112/1000, ))</f>
        <v>0</v>
      </c>
      <c r="D112" s="146">
        <f>IF('tuot-VKO'!I113&gt;0,'tuot-VKO'!I113,IF('tuot-VKO'!H113&gt;0,'tuot-VKO'!H113*1000/7/B112, ))</f>
        <v>0</v>
      </c>
      <c r="E112" s="146">
        <f>IF(C112&gt;0,SUM(C$10:C112), )</f>
        <v>0</v>
      </c>
      <c r="F112" s="146">
        <f>IF('tuot-VKO'!K113&gt;0,'tuot-VKO'!K113,IF('tuot-VKO'!J113&gt;0,'tuot-VKO'!J113*1000/7/B112, ))</f>
        <v>0</v>
      </c>
      <c r="G112" s="148">
        <f t="shared" si="10"/>
        <v>0</v>
      </c>
      <c r="H112" s="149">
        <f>IF($H$5&gt;0,IF('tuot-VKO'!D113&gt;0,IF('tuot-VKO'!F113&gt;0,C112/'tuot-VKO'!D113/'tuot-VKO'!F113*1000, ), ), )</f>
        <v>0</v>
      </c>
      <c r="I112" s="150">
        <f>IF($L$5&gt;0,IF('tuot-VKO'!D113&gt;0,IF('tuot-VKO'!F113&gt;0,E112/SUM('tuot-VKO'!D$11:D113)/'tuot-INFO'!L112*1000, ), ), )</f>
        <v>0</v>
      </c>
      <c r="J112" s="151">
        <f>'tuot-VKO'!G113/10</f>
        <v>0</v>
      </c>
      <c r="K112" s="96" t="str">
        <f t="shared" si="11"/>
        <v>175 - 185</v>
      </c>
      <c r="L112" s="150">
        <f>'tuot-VKO'!L113</f>
        <v>0</v>
      </c>
      <c r="M112" s="57">
        <f t="shared" si="12"/>
        <v>174.6</v>
      </c>
      <c r="N112" s="58">
        <f t="shared" si="13"/>
        <v>185.3</v>
      </c>
      <c r="O112" s="59">
        <f t="shared" si="9"/>
        <v>10.700000000000017</v>
      </c>
      <c r="P112" s="60">
        <f t="shared" si="16"/>
        <v>0</v>
      </c>
      <c r="Q112" s="60">
        <f t="shared" si="16"/>
        <v>0</v>
      </c>
      <c r="R112" s="61">
        <v>1746</v>
      </c>
      <c r="S112" s="61">
        <v>1853</v>
      </c>
      <c r="T112" s="61"/>
      <c r="U112" s="224"/>
      <c r="V112" s="12"/>
      <c r="W112" s="12"/>
      <c r="X112" s="12"/>
      <c r="Y112" s="12"/>
      <c r="Z112" s="12"/>
      <c r="AA112" s="12"/>
      <c r="AB112" s="12"/>
      <c r="AC112" s="12"/>
      <c r="AD112" s="12"/>
    </row>
    <row r="113" spans="1:30" x14ac:dyDescent="0.25">
      <c r="A113" s="145">
        <v>118</v>
      </c>
      <c r="B113" s="146">
        <f>'tuot-INFO'!B113</f>
        <v>9990</v>
      </c>
      <c r="C113" s="147">
        <f>IF('tuot-VKO'!H114&gt;0,'tuot-VKO'!H114,IF('tuot-VKO'!I114&gt;0,'tuot-VKO'!I114*7*B113/1000, ))</f>
        <v>0</v>
      </c>
      <c r="D113" s="146">
        <f>IF('tuot-VKO'!I114&gt;0,'tuot-VKO'!I114,IF('tuot-VKO'!H114&gt;0,'tuot-VKO'!H114*1000/7/B113, ))</f>
        <v>0</v>
      </c>
      <c r="E113" s="146">
        <f>IF(C113&gt;0,SUM(C$10:C113), )</f>
        <v>0</v>
      </c>
      <c r="F113" s="146">
        <f>IF('tuot-VKO'!K114&gt;0,'tuot-VKO'!K114,IF('tuot-VKO'!J114&gt;0,'tuot-VKO'!J114*1000/7/B113, ))</f>
        <v>0</v>
      </c>
      <c r="G113" s="148">
        <f t="shared" si="10"/>
        <v>0</v>
      </c>
      <c r="H113" s="149">
        <f>IF($H$5&gt;0,IF('tuot-VKO'!D114&gt;0,IF('tuot-VKO'!F114&gt;0,C113/'tuot-VKO'!D114/'tuot-VKO'!F114*1000, ), ), )</f>
        <v>0</v>
      </c>
      <c r="I113" s="150">
        <f>IF($L$5&gt;0,IF('tuot-VKO'!D114&gt;0,IF('tuot-VKO'!F114&gt;0,E113/SUM('tuot-VKO'!D$11:D114)/'tuot-INFO'!L113*1000, ), ), )</f>
        <v>0</v>
      </c>
      <c r="J113" s="151">
        <f>'tuot-VKO'!G114/10</f>
        <v>0</v>
      </c>
      <c r="K113" s="96" t="str">
        <f t="shared" si="11"/>
        <v>175 - 185</v>
      </c>
      <c r="L113" s="150">
        <f>'tuot-VKO'!L114</f>
        <v>0</v>
      </c>
      <c r="M113" s="57">
        <f t="shared" si="12"/>
        <v>174.6</v>
      </c>
      <c r="N113" s="58">
        <f t="shared" si="13"/>
        <v>185.3</v>
      </c>
      <c r="O113" s="59">
        <f t="shared" si="9"/>
        <v>10.700000000000017</v>
      </c>
      <c r="P113" s="60">
        <f t="shared" si="16"/>
        <v>0</v>
      </c>
      <c r="Q113" s="60">
        <f t="shared" si="16"/>
        <v>0</v>
      </c>
      <c r="R113" s="61">
        <v>1746</v>
      </c>
      <c r="S113" s="61">
        <v>1853</v>
      </c>
      <c r="T113" s="61"/>
      <c r="U113" s="224"/>
      <c r="V113" s="12"/>
      <c r="W113" s="12"/>
      <c r="X113" s="12"/>
      <c r="Y113" s="12"/>
      <c r="Z113" s="12"/>
      <c r="AA113" s="12"/>
      <c r="AB113" s="12"/>
      <c r="AC113" s="12"/>
      <c r="AD113" s="12"/>
    </row>
    <row r="114" spans="1:30" x14ac:dyDescent="0.25">
      <c r="A114" s="145">
        <v>119</v>
      </c>
      <c r="B114" s="146">
        <f>'tuot-INFO'!B114</f>
        <v>9990</v>
      </c>
      <c r="C114" s="147">
        <f>IF('tuot-VKO'!H115&gt;0,'tuot-VKO'!H115,IF('tuot-VKO'!I115&gt;0,'tuot-VKO'!I115*7*B114/1000, ))</f>
        <v>0</v>
      </c>
      <c r="D114" s="146">
        <f>IF('tuot-VKO'!I115&gt;0,'tuot-VKO'!I115,IF('tuot-VKO'!H115&gt;0,'tuot-VKO'!H115*1000/7/B114, ))</f>
        <v>0</v>
      </c>
      <c r="E114" s="146">
        <f>IF(C114&gt;0,SUM(C$10:C114), )</f>
        <v>0</v>
      </c>
      <c r="F114" s="146">
        <f>IF('tuot-VKO'!K115&gt;0,'tuot-VKO'!K115,IF('tuot-VKO'!J115&gt;0,'tuot-VKO'!J115*1000/7/B114, ))</f>
        <v>0</v>
      </c>
      <c r="G114" s="148">
        <f t="shared" si="10"/>
        <v>0</v>
      </c>
      <c r="H114" s="149">
        <f>IF($H$5&gt;0,IF('tuot-VKO'!D115&gt;0,IF('tuot-VKO'!F115&gt;0,C114/'tuot-VKO'!D115/'tuot-VKO'!F115*1000, ), ), )</f>
        <v>0</v>
      </c>
      <c r="I114" s="150">
        <f>IF($L$5&gt;0,IF('tuot-VKO'!D115&gt;0,IF('tuot-VKO'!F115&gt;0,E114/SUM('tuot-VKO'!D$11:D115)/'tuot-INFO'!L114*1000, ), ), )</f>
        <v>0</v>
      </c>
      <c r="J114" s="151">
        <f>'tuot-VKO'!G115/10</f>
        <v>0</v>
      </c>
      <c r="K114" s="96" t="str">
        <f t="shared" si="11"/>
        <v>175 - 185</v>
      </c>
      <c r="L114" s="150">
        <f>'tuot-VKO'!L115</f>
        <v>0</v>
      </c>
      <c r="M114" s="57">
        <f t="shared" si="12"/>
        <v>174.6</v>
      </c>
      <c r="N114" s="58">
        <f t="shared" si="13"/>
        <v>185.3</v>
      </c>
      <c r="O114" s="59">
        <f t="shared" si="9"/>
        <v>10.700000000000017</v>
      </c>
      <c r="P114" s="60">
        <f t="shared" si="16"/>
        <v>0</v>
      </c>
      <c r="Q114" s="60">
        <f t="shared" si="16"/>
        <v>0</v>
      </c>
      <c r="R114" s="61">
        <v>1746</v>
      </c>
      <c r="S114" s="61">
        <v>1853</v>
      </c>
      <c r="T114" s="61"/>
      <c r="U114" s="224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1:30" ht="15.75" thickBot="1" x14ac:dyDescent="0.3">
      <c r="A115" s="159">
        <v>120</v>
      </c>
      <c r="B115" s="160">
        <f>'tuot-INFO'!B115</f>
        <v>9990</v>
      </c>
      <c r="C115" s="161">
        <f>IF('tuot-VKO'!H116&gt;0,'tuot-VKO'!H116,IF('tuot-VKO'!I116&gt;0,'tuot-VKO'!I116*7*B115/1000, ))</f>
        <v>0</v>
      </c>
      <c r="D115" s="160">
        <f>IF('tuot-VKO'!I116&gt;0,'tuot-VKO'!I116,IF('tuot-VKO'!H116&gt;0,'tuot-VKO'!H116*1000/7/B115, ))</f>
        <v>0</v>
      </c>
      <c r="E115" s="160">
        <f>IF(C115&gt;0,SUM(C$10:C115), )</f>
        <v>0</v>
      </c>
      <c r="F115" s="160">
        <f>IF('tuot-VKO'!K116&gt;0,'tuot-VKO'!K116,IF('tuot-VKO'!J116&gt;0,'tuot-VKO'!J116*1000/7/B115, ))</f>
        <v>0</v>
      </c>
      <c r="G115" s="162">
        <f t="shared" si="10"/>
        <v>0</v>
      </c>
      <c r="H115" s="163">
        <f>IF($H$5&gt;0,IF('tuot-VKO'!D116&gt;0,IF('tuot-VKO'!F116&gt;0,C115/'tuot-VKO'!D116/'tuot-VKO'!F116*1000, ), ), )</f>
        <v>0</v>
      </c>
      <c r="I115" s="164">
        <f>IF($L$5&gt;0,IF('tuot-VKO'!D116&gt;0,IF('tuot-VKO'!F116&gt;0,E115/SUM('tuot-VKO'!D$11:D116)/'tuot-INFO'!L115*1000, ), ), )</f>
        <v>0</v>
      </c>
      <c r="J115" s="163">
        <f>'tuot-VKO'!G116/10</f>
        <v>0</v>
      </c>
      <c r="K115" s="113" t="str">
        <f t="shared" si="11"/>
        <v>175 - 185</v>
      </c>
      <c r="L115" s="164">
        <f>'tuot-VKO'!L116</f>
        <v>0</v>
      </c>
      <c r="M115" s="57">
        <f t="shared" si="12"/>
        <v>174.6</v>
      </c>
      <c r="N115" s="58">
        <f t="shared" si="13"/>
        <v>185.3</v>
      </c>
      <c r="O115" s="59">
        <f t="shared" si="9"/>
        <v>10.700000000000017</v>
      </c>
      <c r="P115" s="60">
        <f t="shared" si="16"/>
        <v>0</v>
      </c>
      <c r="Q115" s="60">
        <f>IF(I115&gt;0,I115,Q114)</f>
        <v>0</v>
      </c>
      <c r="R115" s="61">
        <v>1746</v>
      </c>
      <c r="S115" s="61">
        <v>1853</v>
      </c>
      <c r="T115" s="61"/>
      <c r="U115" s="224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1:30" ht="15.75" thickTop="1" x14ac:dyDescent="0.25"/>
  </sheetData>
  <sheetProtection algorithmName="SHA-512" hashValue="tHy//t1QRbWgY9HUgZoe9d1h+AhGFd+w5Hat7TKFW7Txgy9BU44V/wy+hHoBavUWdFOraqOQrXBkUNWTAkCVqw==" saltValue="W448mX6k4YArovavQBOclA==" spinCount="100000" sheet="1" selectLockedCells="1"/>
  <mergeCells count="6">
    <mergeCell ref="J8:L8"/>
    <mergeCell ref="D3:F3"/>
    <mergeCell ref="D4:F4"/>
    <mergeCell ref="D5:F5"/>
    <mergeCell ref="C8:G8"/>
    <mergeCell ref="H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I31"/>
  <sheetViews>
    <sheetView workbookViewId="0">
      <selection activeCell="B11" sqref="B11:H11"/>
    </sheetView>
  </sheetViews>
  <sheetFormatPr defaultColWidth="8.85546875" defaultRowHeight="15" x14ac:dyDescent="0.25"/>
  <cols>
    <col min="1" max="1" width="29.7109375" style="1" bestFit="1" customWidth="1"/>
    <col min="2" max="2" width="12.7109375" style="1" customWidth="1"/>
    <col min="3" max="3" width="8.85546875" style="1"/>
    <col min="4" max="4" width="11" style="1" bestFit="1" customWidth="1"/>
    <col min="5" max="8" width="8.85546875" style="1"/>
    <col min="9" max="9" width="10.140625" style="1" bestFit="1" customWidth="1"/>
    <col min="10" max="16384" width="8.85546875" style="1"/>
  </cols>
  <sheetData>
    <row r="1" spans="1:9" ht="36" x14ac:dyDescent="0.55000000000000004">
      <c r="A1" s="266" t="s">
        <v>127</v>
      </c>
      <c r="B1" s="266"/>
      <c r="C1" s="266"/>
      <c r="D1" s="266"/>
      <c r="E1" s="266"/>
      <c r="F1" s="266"/>
      <c r="G1" s="266"/>
      <c r="H1" s="266"/>
      <c r="I1" s="10"/>
    </row>
    <row r="2" spans="1:9" x14ac:dyDescent="0.25">
      <c r="A2" s="4"/>
      <c r="B2" s="4"/>
      <c r="C2" s="3"/>
      <c r="D2" s="4"/>
      <c r="E2" s="4"/>
      <c r="F2" s="4"/>
      <c r="G2" s="5"/>
      <c r="I2" s="2"/>
    </row>
    <row r="4" spans="1:9" ht="15.75" x14ac:dyDescent="0.25">
      <c r="A4" s="15" t="s">
        <v>106</v>
      </c>
      <c r="B4" s="18">
        <v>42370</v>
      </c>
    </row>
    <row r="6" spans="1:9" ht="15.75" x14ac:dyDescent="0.25">
      <c r="A6" s="15" t="s">
        <v>96</v>
      </c>
      <c r="B6" s="263"/>
      <c r="C6" s="264"/>
      <c r="D6" s="265"/>
    </row>
    <row r="7" spans="1:9" ht="15.75" x14ac:dyDescent="0.25">
      <c r="A7" s="15" t="s">
        <v>104</v>
      </c>
      <c r="B7" s="263"/>
      <c r="C7" s="264"/>
      <c r="D7" s="265"/>
    </row>
    <row r="8" spans="1:9" ht="15.75" x14ac:dyDescent="0.25">
      <c r="A8" s="15" t="s">
        <v>97</v>
      </c>
      <c r="B8" s="263"/>
      <c r="C8" s="264"/>
      <c r="D8" s="265"/>
    </row>
    <row r="9" spans="1:9" ht="15.75" x14ac:dyDescent="0.25">
      <c r="A9" s="15" t="s">
        <v>100</v>
      </c>
      <c r="B9" s="183">
        <v>42371</v>
      </c>
    </row>
    <row r="10" spans="1:9" ht="15.75" x14ac:dyDescent="0.25">
      <c r="A10" s="15" t="s">
        <v>102</v>
      </c>
      <c r="B10" s="19">
        <v>10000</v>
      </c>
    </row>
    <row r="11" spans="1:9" ht="15.75" x14ac:dyDescent="0.25">
      <c r="A11" s="15" t="s">
        <v>101</v>
      </c>
      <c r="B11" s="263"/>
      <c r="C11" s="264"/>
      <c r="D11" s="264"/>
      <c r="E11" s="264"/>
      <c r="F11" s="264"/>
      <c r="G11" s="264"/>
      <c r="H11" s="265"/>
      <c r="I11" s="225"/>
    </row>
    <row r="12" spans="1:9" x14ac:dyDescent="0.25">
      <c r="E12" s="35"/>
      <c r="F12" s="35"/>
      <c r="G12" s="35"/>
      <c r="H12" s="35"/>
      <c r="I12" s="35"/>
    </row>
    <row r="13" spans="1:9" x14ac:dyDescent="0.25">
      <c r="E13" s="35"/>
      <c r="F13" s="35"/>
      <c r="G13" s="35"/>
      <c r="H13" s="35"/>
      <c r="I13" s="35"/>
    </row>
    <row r="14" spans="1:9" ht="15.75" x14ac:dyDescent="0.25">
      <c r="A14" s="6" t="s">
        <v>98</v>
      </c>
      <c r="B14" s="263"/>
      <c r="C14" s="267"/>
      <c r="D14" s="268"/>
      <c r="E14" s="35"/>
      <c r="F14" s="35"/>
      <c r="G14" s="35"/>
      <c r="H14" s="35"/>
      <c r="I14" s="35"/>
    </row>
    <row r="15" spans="1:9" ht="15.75" x14ac:dyDescent="0.25">
      <c r="A15" s="6" t="s">
        <v>105</v>
      </c>
      <c r="B15" s="263"/>
      <c r="C15" s="267"/>
      <c r="D15" s="268"/>
      <c r="E15" s="35"/>
      <c r="F15" s="7"/>
      <c r="G15" s="7"/>
      <c r="H15" s="7"/>
      <c r="I15" s="35"/>
    </row>
    <row r="16" spans="1:9" ht="15.75" x14ac:dyDescent="0.25">
      <c r="A16" s="6" t="str">
        <f>Yleistiedot!A8</f>
        <v>Parvitunnus</v>
      </c>
      <c r="B16" s="263"/>
      <c r="C16" s="267"/>
      <c r="D16" s="268"/>
      <c r="E16" s="35"/>
      <c r="F16" s="35"/>
      <c r="G16" s="35"/>
      <c r="H16" s="35"/>
      <c r="I16" s="35"/>
    </row>
    <row r="17" spans="1:9" ht="15.75" x14ac:dyDescent="0.25">
      <c r="A17" s="7" t="s">
        <v>103</v>
      </c>
      <c r="B17" s="50">
        <f>17*7+B4</f>
        <v>42489</v>
      </c>
      <c r="E17" s="35"/>
      <c r="F17" s="35"/>
      <c r="G17" s="35"/>
      <c r="H17" s="35"/>
      <c r="I17" s="35"/>
    </row>
    <row r="18" spans="1:9" ht="15.75" x14ac:dyDescent="0.25">
      <c r="A18" s="7" t="s">
        <v>99</v>
      </c>
      <c r="B18" s="51">
        <v>9990</v>
      </c>
      <c r="E18" s="35"/>
      <c r="F18" s="35"/>
      <c r="G18" s="35"/>
      <c r="H18" s="35"/>
      <c r="I18" s="35"/>
    </row>
    <row r="19" spans="1:9" ht="15.75" x14ac:dyDescent="0.25">
      <c r="A19" s="6" t="str">
        <f>Yleistiedot!A11</f>
        <v>Huomioita</v>
      </c>
      <c r="B19" s="263"/>
      <c r="C19" s="264"/>
      <c r="D19" s="264"/>
      <c r="E19" s="264"/>
      <c r="F19" s="264"/>
      <c r="G19" s="264"/>
      <c r="H19" s="265"/>
      <c r="I19" s="226"/>
    </row>
    <row r="20" spans="1:9" x14ac:dyDescent="0.25">
      <c r="E20" s="35"/>
      <c r="F20" s="35"/>
      <c r="G20" s="35"/>
      <c r="H20" s="35"/>
      <c r="I20" s="35"/>
    </row>
    <row r="21" spans="1:9" x14ac:dyDescent="0.25">
      <c r="E21" s="35"/>
      <c r="F21" s="35"/>
      <c r="G21" s="35"/>
      <c r="H21" s="35"/>
      <c r="I21" s="35"/>
    </row>
    <row r="22" spans="1:9" x14ac:dyDescent="0.25">
      <c r="D22" s="232" t="s">
        <v>154</v>
      </c>
      <c r="E22" s="233" t="s">
        <v>155</v>
      </c>
      <c r="F22" s="35"/>
      <c r="G22" s="35"/>
      <c r="H22" s="35"/>
      <c r="I22" s="35"/>
    </row>
    <row r="23" spans="1:9" x14ac:dyDescent="0.25">
      <c r="A23" s="232" t="s">
        <v>149</v>
      </c>
      <c r="B23" s="1" t="s">
        <v>150</v>
      </c>
      <c r="D23" s="234" t="s">
        <v>170</v>
      </c>
      <c r="E23" s="231" t="s">
        <v>156</v>
      </c>
    </row>
    <row r="24" spans="1:9" x14ac:dyDescent="0.25">
      <c r="B24" s="1" t="s">
        <v>152</v>
      </c>
      <c r="D24" s="234"/>
      <c r="E24" s="231" t="s">
        <v>156</v>
      </c>
    </row>
    <row r="25" spans="1:9" x14ac:dyDescent="0.25">
      <c r="B25" s="1" t="s">
        <v>151</v>
      </c>
      <c r="D25" s="234"/>
      <c r="E25" s="231" t="s">
        <v>171</v>
      </c>
    </row>
    <row r="26" spans="1:9" x14ac:dyDescent="0.25">
      <c r="B26" s="1" t="s">
        <v>153</v>
      </c>
      <c r="D26" s="234"/>
      <c r="E26" s="231" t="s">
        <v>156</v>
      </c>
    </row>
    <row r="27" spans="1:9" x14ac:dyDescent="0.25">
      <c r="D27" s="3"/>
      <c r="E27" s="4"/>
      <c r="F27" s="4"/>
      <c r="G27" s="4"/>
      <c r="H27" s="5"/>
    </row>
    <row r="28" spans="1:9" x14ac:dyDescent="0.25">
      <c r="D28" s="55">
        <f>IF(ISBLANK(D23),IF(ISBLANK(D24),IF(ISBLANK(D25),IF(ISBLANK(D26),0,4),3),2),1)</f>
        <v>1</v>
      </c>
    </row>
    <row r="31" spans="1:9" x14ac:dyDescent="0.25">
      <c r="D31" s="227"/>
    </row>
  </sheetData>
  <sheetProtection algorithmName="SHA-512" hashValue="G6Le+hMtMR0mnNQRmRCTyLPGDuNbjt/brkUSn+/yLR/xhG+ZtaMvbMewyIg9NVVNI09lrxKtdUU7cBlPTDxNuA==" saltValue="26hhTftzB23aDlIHL+GOUQ==" spinCount="100000" sheet="1" selectLockedCells="1"/>
  <mergeCells count="9">
    <mergeCell ref="B19:H19"/>
    <mergeCell ref="B11:H11"/>
    <mergeCell ref="A1:H1"/>
    <mergeCell ref="B6:D6"/>
    <mergeCell ref="B7:D7"/>
    <mergeCell ref="B8:D8"/>
    <mergeCell ref="B14:D14"/>
    <mergeCell ref="B15:D15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1">
    <tabColor theme="9"/>
  </sheetPr>
  <dimension ref="A1:S1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1.5703125" defaultRowHeight="15" x14ac:dyDescent="0.25"/>
  <cols>
    <col min="1" max="1" width="8.140625" style="1" bestFit="1" customWidth="1"/>
    <col min="2" max="2" width="7.140625" style="4" bestFit="1" customWidth="1"/>
    <col min="3" max="3" width="9.7109375" style="1" customWidth="1"/>
    <col min="4" max="4" width="9.7109375" style="4" customWidth="1"/>
    <col min="5" max="5" width="12.7109375" style="3" customWidth="1"/>
    <col min="6" max="8" width="12.7109375" style="4" customWidth="1"/>
    <col min="9" max="9" width="9.7109375" style="5" customWidth="1"/>
    <col min="10" max="10" width="19.140625" style="1" customWidth="1"/>
    <col min="11" max="11" width="52.42578125" style="1" customWidth="1"/>
    <col min="12" max="12" width="7.85546875" style="55" customWidth="1"/>
    <col min="13" max="16384" width="11.5703125" style="1"/>
  </cols>
  <sheetData>
    <row r="1" spans="1:19" ht="15.75" customHeight="1" x14ac:dyDescent="0.25">
      <c r="A1" s="271" t="s">
        <v>3</v>
      </c>
      <c r="B1" s="271" t="s">
        <v>83</v>
      </c>
      <c r="C1" s="270" t="s">
        <v>92</v>
      </c>
      <c r="D1" s="271" t="s">
        <v>110</v>
      </c>
      <c r="E1" s="272" t="s">
        <v>2</v>
      </c>
      <c r="F1" s="272"/>
      <c r="G1" s="272" t="s">
        <v>2</v>
      </c>
      <c r="H1" s="272"/>
      <c r="I1" s="270" t="s">
        <v>8</v>
      </c>
      <c r="J1" s="269" t="s">
        <v>9</v>
      </c>
      <c r="K1" s="270" t="s">
        <v>10</v>
      </c>
    </row>
    <row r="2" spans="1:19" s="9" customFormat="1" ht="27.6" customHeight="1" x14ac:dyDescent="0.25">
      <c r="A2" s="271"/>
      <c r="B2" s="271"/>
      <c r="C2" s="270"/>
      <c r="D2" s="271"/>
      <c r="E2" s="20" t="s">
        <v>111</v>
      </c>
      <c r="F2" s="20" t="s">
        <v>113</v>
      </c>
      <c r="G2" s="20" t="s">
        <v>112</v>
      </c>
      <c r="H2" s="20" t="s">
        <v>114</v>
      </c>
      <c r="I2" s="270"/>
      <c r="J2" s="269"/>
      <c r="K2" s="270"/>
      <c r="L2" s="62" t="s">
        <v>20</v>
      </c>
    </row>
    <row r="3" spans="1:19" s="9" customFormat="1" x14ac:dyDescent="0.25">
      <c r="A3" s="177">
        <f>IF(Yleistiedot!$B$4&gt;0,Yleistiedot!$B$4+L3, )</f>
        <v>42371</v>
      </c>
      <c r="B3" s="22">
        <f>ROUNDUP((A3-Yleistiedot!$B$4)/7,0)</f>
        <v>1</v>
      </c>
      <c r="C3" s="178"/>
      <c r="D3" s="178"/>
      <c r="E3" s="178"/>
      <c r="F3" s="178"/>
      <c r="G3" s="178"/>
      <c r="H3" s="178"/>
      <c r="I3" s="178"/>
      <c r="J3" s="179"/>
      <c r="K3" s="179"/>
      <c r="L3" s="62">
        <v>1</v>
      </c>
    </row>
    <row r="4" spans="1:19" s="9" customFormat="1" x14ac:dyDescent="0.25">
      <c r="A4" s="177">
        <f>IF(Yleistiedot!$B$4&gt;0,Yleistiedot!$B$4+L4, )</f>
        <v>42372</v>
      </c>
      <c r="B4" s="22">
        <f>ROUNDUP((A4-Yleistiedot!$B$4)/7,0)</f>
        <v>1</v>
      </c>
      <c r="C4" s="16"/>
      <c r="D4" s="16"/>
      <c r="E4" s="16"/>
      <c r="F4" s="16"/>
      <c r="G4" s="16"/>
      <c r="H4" s="16"/>
      <c r="I4" s="16"/>
      <c r="J4" s="17"/>
      <c r="K4" s="17"/>
      <c r="L4" s="62">
        <v>2</v>
      </c>
    </row>
    <row r="5" spans="1:19" s="9" customFormat="1" x14ac:dyDescent="0.25">
      <c r="A5" s="177">
        <f>IF(Yleistiedot!$B$4&gt;0,Yleistiedot!$B$4+L5, )</f>
        <v>42373</v>
      </c>
      <c r="B5" s="22">
        <f>ROUNDUP((A5-Yleistiedot!$B$4)/7,0)</f>
        <v>1</v>
      </c>
      <c r="C5" s="16"/>
      <c r="D5" s="16"/>
      <c r="E5" s="16"/>
      <c r="F5" s="16"/>
      <c r="G5" s="16"/>
      <c r="H5" s="16"/>
      <c r="I5" s="16"/>
      <c r="J5" s="17"/>
      <c r="K5" s="17"/>
      <c r="L5" s="62">
        <v>3</v>
      </c>
    </row>
    <row r="6" spans="1:19" s="9" customFormat="1" x14ac:dyDescent="0.25">
      <c r="A6" s="177">
        <f>IF(Yleistiedot!$B$4&gt;0,Yleistiedot!$B$4+L6, )</f>
        <v>42374</v>
      </c>
      <c r="B6" s="22">
        <f>ROUNDUP((A6-Yleistiedot!$B$4)/7,0)</f>
        <v>1</v>
      </c>
      <c r="C6" s="16"/>
      <c r="D6" s="16"/>
      <c r="E6" s="16"/>
      <c r="F6" s="16"/>
      <c r="G6" s="16"/>
      <c r="H6" s="16"/>
      <c r="I6" s="16"/>
      <c r="J6" s="17"/>
      <c r="K6" s="17"/>
      <c r="L6" s="62">
        <v>4</v>
      </c>
    </row>
    <row r="7" spans="1:19" s="9" customFormat="1" x14ac:dyDescent="0.25">
      <c r="A7" s="177">
        <f>IF(Yleistiedot!$B$4&gt;0,Yleistiedot!$B$4+L7, )</f>
        <v>42375</v>
      </c>
      <c r="B7" s="22">
        <f>ROUNDUP((A7-Yleistiedot!$B$4)/7,0)</f>
        <v>1</v>
      </c>
      <c r="C7" s="16"/>
      <c r="D7" s="16"/>
      <c r="E7" s="16"/>
      <c r="F7" s="16"/>
      <c r="G7" s="16"/>
      <c r="H7" s="16"/>
      <c r="I7" s="16"/>
      <c r="J7" s="17"/>
      <c r="K7" s="17"/>
      <c r="L7" s="62">
        <v>5</v>
      </c>
    </row>
    <row r="8" spans="1:19" s="9" customFormat="1" x14ac:dyDescent="0.25">
      <c r="A8" s="177">
        <f>IF(Yleistiedot!$B$4&gt;0,Yleistiedot!$B$4+L8, )</f>
        <v>42376</v>
      </c>
      <c r="B8" s="22">
        <f>ROUNDUP((A8-Yleistiedot!$B$4)/7,0)</f>
        <v>1</v>
      </c>
      <c r="C8" s="16"/>
      <c r="D8" s="16"/>
      <c r="E8" s="16"/>
      <c r="F8" s="16"/>
      <c r="G8" s="16"/>
      <c r="H8" s="16"/>
      <c r="I8" s="16"/>
      <c r="J8" s="17"/>
      <c r="K8" s="17"/>
      <c r="L8" s="62">
        <v>6</v>
      </c>
    </row>
    <row r="9" spans="1:19" s="9" customFormat="1" x14ac:dyDescent="0.25">
      <c r="A9" s="177">
        <f>IF(Yleistiedot!$B$4&gt;0,Yleistiedot!$B$4+L9, )</f>
        <v>42377</v>
      </c>
      <c r="B9" s="22">
        <f>ROUNDUP((A9-Yleistiedot!$B$4)/7,0)</f>
        <v>1</v>
      </c>
      <c r="C9" s="16"/>
      <c r="D9" s="16"/>
      <c r="E9" s="16"/>
      <c r="F9" s="16"/>
      <c r="G9" s="16"/>
      <c r="H9" s="16"/>
      <c r="I9" s="16"/>
      <c r="J9" s="17"/>
      <c r="K9" s="17"/>
      <c r="L9" s="62">
        <v>7</v>
      </c>
    </row>
    <row r="10" spans="1:19" s="11" customFormat="1" x14ac:dyDescent="0.25">
      <c r="A10" s="177">
        <f>IF(Yleistiedot!$B$4&gt;0,Yleistiedot!$B$4+L10, )</f>
        <v>42378</v>
      </c>
      <c r="B10" s="22">
        <f>ROUNDUP((A10-Yleistiedot!$B$4)/7,0)</f>
        <v>2</v>
      </c>
      <c r="C10" s="16"/>
      <c r="D10" s="16"/>
      <c r="E10" s="16"/>
      <c r="F10" s="16"/>
      <c r="G10" s="16"/>
      <c r="H10" s="16"/>
      <c r="I10" s="16"/>
      <c r="J10" s="17"/>
      <c r="K10" s="17"/>
      <c r="L10" s="62">
        <v>8</v>
      </c>
    </row>
    <row r="11" spans="1:19" s="11" customFormat="1" x14ac:dyDescent="0.25">
      <c r="A11" s="177">
        <f>IF(Yleistiedot!$B$4&gt;0,Yleistiedot!$B$4+L11, )</f>
        <v>42379</v>
      </c>
      <c r="B11" s="22">
        <f>ROUNDUP((A11-Yleistiedot!$B$4)/7,0)</f>
        <v>2</v>
      </c>
      <c r="C11" s="16"/>
      <c r="D11" s="16"/>
      <c r="E11" s="16"/>
      <c r="F11" s="16"/>
      <c r="G11" s="16"/>
      <c r="H11" s="16"/>
      <c r="I11" s="16"/>
      <c r="J11" s="17"/>
      <c r="K11" s="17"/>
      <c r="L11" s="62">
        <v>9</v>
      </c>
    </row>
    <row r="12" spans="1:19" s="11" customFormat="1" x14ac:dyDescent="0.25">
      <c r="A12" s="177">
        <f>IF(Yleistiedot!$B$4&gt;0,Yleistiedot!$B$4+L12, )</f>
        <v>42380</v>
      </c>
      <c r="B12" s="22">
        <f>ROUNDUP((A12-Yleistiedot!$B$4)/7,0)</f>
        <v>2</v>
      </c>
      <c r="C12" s="16"/>
      <c r="D12" s="16"/>
      <c r="E12" s="16"/>
      <c r="F12" s="16"/>
      <c r="G12" s="16"/>
      <c r="H12" s="16"/>
      <c r="I12" s="16"/>
      <c r="J12" s="17"/>
      <c r="K12" s="17"/>
      <c r="L12" s="62">
        <v>10</v>
      </c>
    </row>
    <row r="13" spans="1:19" s="11" customFormat="1" x14ac:dyDescent="0.25">
      <c r="A13" s="177">
        <f>IF(Yleistiedot!$B$4&gt;0,Yleistiedot!$B$4+L13, )</f>
        <v>42381</v>
      </c>
      <c r="B13" s="22">
        <f>ROUNDUP((A13-Yleistiedot!$B$4)/7,0)</f>
        <v>2</v>
      </c>
      <c r="C13" s="16"/>
      <c r="D13" s="16"/>
      <c r="E13" s="16"/>
      <c r="F13" s="16"/>
      <c r="G13" s="16"/>
      <c r="H13" s="16"/>
      <c r="I13" s="16"/>
      <c r="J13" s="17"/>
      <c r="K13" s="17"/>
      <c r="L13" s="62">
        <v>11</v>
      </c>
    </row>
    <row r="14" spans="1:19" s="11" customFormat="1" x14ac:dyDescent="0.25">
      <c r="A14" s="177">
        <f>IF(Yleistiedot!$B$4&gt;0,Yleistiedot!$B$4+L14, )</f>
        <v>42382</v>
      </c>
      <c r="B14" s="22">
        <f>ROUNDUP((A14-Yleistiedot!$B$4)/7,0)</f>
        <v>2</v>
      </c>
      <c r="C14" s="16"/>
      <c r="D14" s="16"/>
      <c r="E14" s="16"/>
      <c r="F14" s="16"/>
      <c r="G14" s="16"/>
      <c r="H14" s="16"/>
      <c r="I14" s="16"/>
      <c r="J14" s="17"/>
      <c r="K14" s="17"/>
      <c r="L14" s="62">
        <v>12</v>
      </c>
    </row>
    <row r="15" spans="1:19" x14ac:dyDescent="0.25">
      <c r="A15" s="177">
        <f>IF(Yleistiedot!$B$4&gt;0,Yleistiedot!$B$4+L15, )</f>
        <v>42383</v>
      </c>
      <c r="B15" s="22">
        <f>ROUNDUP((A15-Yleistiedot!$B$4)/7,0)</f>
        <v>2</v>
      </c>
      <c r="C15" s="16"/>
      <c r="D15" s="16"/>
      <c r="E15" s="16"/>
      <c r="F15" s="16"/>
      <c r="G15" s="16"/>
      <c r="H15" s="16"/>
      <c r="I15" s="16"/>
      <c r="J15" s="17"/>
      <c r="K15" s="17"/>
      <c r="L15" s="62">
        <v>13</v>
      </c>
      <c r="M15" s="12"/>
      <c r="N15" s="12"/>
      <c r="O15" s="12"/>
      <c r="P15" s="12"/>
      <c r="Q15" s="12"/>
      <c r="R15" s="12"/>
      <c r="S15" s="12"/>
    </row>
    <row r="16" spans="1:19" x14ac:dyDescent="0.25">
      <c r="A16" s="177">
        <f>IF(Yleistiedot!$B$4&gt;0,Yleistiedot!$B$4+L16, )</f>
        <v>42384</v>
      </c>
      <c r="B16" s="22">
        <f>ROUNDUP((A16-Yleistiedot!$B$4)/7,0)</f>
        <v>2</v>
      </c>
      <c r="C16" s="16"/>
      <c r="D16" s="16"/>
      <c r="E16" s="16"/>
      <c r="F16" s="16"/>
      <c r="G16" s="16"/>
      <c r="H16" s="16"/>
      <c r="I16" s="16"/>
      <c r="J16" s="17"/>
      <c r="K16" s="17"/>
      <c r="L16" s="62">
        <v>14</v>
      </c>
      <c r="M16" s="12"/>
      <c r="N16" s="12"/>
      <c r="O16" s="12"/>
      <c r="P16" s="12"/>
      <c r="Q16" s="12"/>
      <c r="R16" s="12"/>
      <c r="S16" s="12"/>
    </row>
    <row r="17" spans="1:19" x14ac:dyDescent="0.25">
      <c r="A17" s="177">
        <f>IF(Yleistiedot!$B$4&gt;0,Yleistiedot!$B$4+L17, )</f>
        <v>42385</v>
      </c>
      <c r="B17" s="22">
        <f>ROUNDUP((A17-Yleistiedot!$B$4)/7,0)</f>
        <v>3</v>
      </c>
      <c r="C17" s="16"/>
      <c r="D17" s="16"/>
      <c r="E17" s="16"/>
      <c r="F17" s="16"/>
      <c r="G17" s="16"/>
      <c r="H17" s="16"/>
      <c r="I17" s="16"/>
      <c r="J17" s="17"/>
      <c r="K17" s="17"/>
      <c r="L17" s="62">
        <v>15</v>
      </c>
      <c r="M17" s="12"/>
      <c r="N17" s="12"/>
      <c r="O17" s="12"/>
      <c r="P17" s="12"/>
      <c r="Q17" s="12"/>
      <c r="R17" s="12"/>
      <c r="S17" s="12"/>
    </row>
    <row r="18" spans="1:19" x14ac:dyDescent="0.25">
      <c r="A18" s="177">
        <f>IF(Yleistiedot!$B$4&gt;0,Yleistiedot!$B$4+L18, )</f>
        <v>42386</v>
      </c>
      <c r="B18" s="22">
        <f>ROUNDUP((A18-Yleistiedot!$B$4)/7,0)</f>
        <v>3</v>
      </c>
      <c r="C18" s="16"/>
      <c r="D18" s="16"/>
      <c r="E18" s="16"/>
      <c r="F18" s="16"/>
      <c r="G18" s="16"/>
      <c r="H18" s="16"/>
      <c r="I18" s="16"/>
      <c r="J18" s="17"/>
      <c r="K18" s="17"/>
      <c r="L18" s="62">
        <v>16</v>
      </c>
      <c r="M18" s="12"/>
      <c r="N18" s="12"/>
      <c r="O18" s="12"/>
      <c r="P18" s="12"/>
      <c r="Q18" s="12"/>
      <c r="R18" s="12"/>
      <c r="S18" s="12"/>
    </row>
    <row r="19" spans="1:19" x14ac:dyDescent="0.25">
      <c r="A19" s="177">
        <f>IF(Yleistiedot!$B$4&gt;0,Yleistiedot!$B$4+L19, )</f>
        <v>42387</v>
      </c>
      <c r="B19" s="22">
        <f>ROUNDUP((A19-Yleistiedot!$B$4)/7,0)</f>
        <v>3</v>
      </c>
      <c r="C19" s="16"/>
      <c r="D19" s="16"/>
      <c r="E19" s="16"/>
      <c r="F19" s="16"/>
      <c r="G19" s="16"/>
      <c r="H19" s="16"/>
      <c r="I19" s="16"/>
      <c r="J19" s="17"/>
      <c r="K19" s="17"/>
      <c r="L19" s="62">
        <v>17</v>
      </c>
      <c r="M19" s="12"/>
      <c r="N19" s="12"/>
      <c r="O19" s="12"/>
      <c r="P19" s="12"/>
      <c r="Q19" s="12"/>
      <c r="R19" s="12"/>
      <c r="S19" s="12"/>
    </row>
    <row r="20" spans="1:19" x14ac:dyDescent="0.25">
      <c r="A20" s="177">
        <f>IF(Yleistiedot!$B$4&gt;0,Yleistiedot!$B$4+L20, )</f>
        <v>42388</v>
      </c>
      <c r="B20" s="22">
        <f>ROUNDUP((A20-Yleistiedot!$B$4)/7,0)</f>
        <v>3</v>
      </c>
      <c r="C20" s="16"/>
      <c r="D20" s="16"/>
      <c r="E20" s="16"/>
      <c r="F20" s="16"/>
      <c r="G20" s="16"/>
      <c r="H20" s="16"/>
      <c r="I20" s="16"/>
      <c r="J20" s="17"/>
      <c r="K20" s="17"/>
      <c r="L20" s="62">
        <v>18</v>
      </c>
      <c r="M20" s="12"/>
      <c r="N20" s="12"/>
      <c r="O20" s="12"/>
      <c r="P20" s="12"/>
      <c r="Q20" s="12"/>
      <c r="R20" s="12"/>
      <c r="S20" s="12"/>
    </row>
    <row r="21" spans="1:19" x14ac:dyDescent="0.25">
      <c r="A21" s="177">
        <f>IF(Yleistiedot!$B$4&gt;0,Yleistiedot!$B$4+L21, )</f>
        <v>42389</v>
      </c>
      <c r="B21" s="22">
        <f>ROUNDUP((A21-Yleistiedot!$B$4)/7,0)</f>
        <v>3</v>
      </c>
      <c r="C21" s="16"/>
      <c r="D21" s="16"/>
      <c r="E21" s="16"/>
      <c r="F21" s="16"/>
      <c r="G21" s="16"/>
      <c r="H21" s="16"/>
      <c r="I21" s="16"/>
      <c r="J21" s="17"/>
      <c r="K21" s="17"/>
      <c r="L21" s="62">
        <v>19</v>
      </c>
      <c r="M21" s="12"/>
      <c r="N21" s="12"/>
      <c r="O21" s="12"/>
      <c r="P21" s="12"/>
      <c r="Q21" s="12"/>
      <c r="R21" s="12"/>
      <c r="S21" s="12"/>
    </row>
    <row r="22" spans="1:19" x14ac:dyDescent="0.25">
      <c r="A22" s="177">
        <f>IF(Yleistiedot!$B$4&gt;0,Yleistiedot!$B$4+L22, )</f>
        <v>42390</v>
      </c>
      <c r="B22" s="22">
        <f>ROUNDUP((A22-Yleistiedot!$B$4)/7,0)</f>
        <v>3</v>
      </c>
      <c r="C22" s="16"/>
      <c r="D22" s="16"/>
      <c r="E22" s="16"/>
      <c r="F22" s="16"/>
      <c r="G22" s="16"/>
      <c r="H22" s="16"/>
      <c r="I22" s="16"/>
      <c r="J22" s="17"/>
      <c r="K22" s="17"/>
      <c r="L22" s="62">
        <v>20</v>
      </c>
      <c r="M22" s="12"/>
      <c r="N22" s="12"/>
      <c r="O22" s="12"/>
      <c r="P22" s="12"/>
      <c r="Q22" s="12"/>
      <c r="R22" s="12"/>
      <c r="S22" s="12"/>
    </row>
    <row r="23" spans="1:19" x14ac:dyDescent="0.25">
      <c r="A23" s="177">
        <f>IF(Yleistiedot!$B$4&gt;0,Yleistiedot!$B$4+L23, )</f>
        <v>42391</v>
      </c>
      <c r="B23" s="22">
        <f>ROUNDUP((A23-Yleistiedot!$B$4)/7,0)</f>
        <v>3</v>
      </c>
      <c r="C23" s="16"/>
      <c r="D23" s="16"/>
      <c r="E23" s="16"/>
      <c r="F23" s="16"/>
      <c r="G23" s="16"/>
      <c r="H23" s="16"/>
      <c r="I23" s="16"/>
      <c r="J23" s="17"/>
      <c r="K23" s="17"/>
      <c r="L23" s="62">
        <v>21</v>
      </c>
      <c r="M23" s="12"/>
      <c r="N23" s="12"/>
      <c r="O23" s="12"/>
      <c r="P23" s="12"/>
      <c r="Q23" s="12"/>
      <c r="R23" s="12"/>
      <c r="S23" s="12"/>
    </row>
    <row r="24" spans="1:19" x14ac:dyDescent="0.25">
      <c r="A24" s="177">
        <f>IF(Yleistiedot!$B$4&gt;0,Yleistiedot!$B$4+L24, )</f>
        <v>42392</v>
      </c>
      <c r="B24" s="22">
        <f>ROUNDUP((A24-Yleistiedot!$B$4)/7,0)</f>
        <v>4</v>
      </c>
      <c r="C24" s="16"/>
      <c r="D24" s="16"/>
      <c r="E24" s="16"/>
      <c r="F24" s="16"/>
      <c r="G24" s="16"/>
      <c r="H24" s="16"/>
      <c r="I24" s="16"/>
      <c r="J24" s="17"/>
      <c r="K24" s="17"/>
      <c r="L24" s="62">
        <v>22</v>
      </c>
      <c r="M24" s="12"/>
      <c r="N24" s="12"/>
      <c r="O24" s="12"/>
      <c r="P24" s="12"/>
      <c r="Q24" s="12"/>
      <c r="R24" s="12"/>
      <c r="S24" s="12"/>
    </row>
    <row r="25" spans="1:19" x14ac:dyDescent="0.25">
      <c r="A25" s="177">
        <f>IF(Yleistiedot!$B$4&gt;0,Yleistiedot!$B$4+L25, )</f>
        <v>42393</v>
      </c>
      <c r="B25" s="22">
        <f>ROUNDUP((A25-Yleistiedot!$B$4)/7,0)</f>
        <v>4</v>
      </c>
      <c r="C25" s="16"/>
      <c r="D25" s="16"/>
      <c r="E25" s="16"/>
      <c r="F25" s="16"/>
      <c r="G25" s="16"/>
      <c r="H25" s="16"/>
      <c r="I25" s="16"/>
      <c r="J25" s="17"/>
      <c r="K25" s="17"/>
      <c r="L25" s="62">
        <v>23</v>
      </c>
      <c r="M25" s="12"/>
      <c r="N25" s="12"/>
      <c r="O25" s="12"/>
      <c r="P25" s="12"/>
      <c r="Q25" s="12"/>
      <c r="R25" s="12"/>
      <c r="S25" s="12"/>
    </row>
    <row r="26" spans="1:19" x14ac:dyDescent="0.25">
      <c r="A26" s="177">
        <f>IF(Yleistiedot!$B$4&gt;0,Yleistiedot!$B$4+L26, )</f>
        <v>42394</v>
      </c>
      <c r="B26" s="22">
        <f>ROUNDUP((A26-Yleistiedot!$B$4)/7,0)</f>
        <v>4</v>
      </c>
      <c r="C26" s="16"/>
      <c r="D26" s="16"/>
      <c r="E26" s="16"/>
      <c r="F26" s="16"/>
      <c r="G26" s="16"/>
      <c r="H26" s="16"/>
      <c r="I26" s="16"/>
      <c r="J26" s="17"/>
      <c r="K26" s="17"/>
      <c r="L26" s="62">
        <v>24</v>
      </c>
      <c r="M26" s="12"/>
      <c r="N26" s="12"/>
      <c r="O26" s="12"/>
      <c r="P26" s="12"/>
      <c r="Q26" s="12"/>
      <c r="R26" s="12"/>
      <c r="S26" s="12"/>
    </row>
    <row r="27" spans="1:19" x14ac:dyDescent="0.25">
      <c r="A27" s="177">
        <f>IF(Yleistiedot!$B$4&gt;0,Yleistiedot!$B$4+L27, )</f>
        <v>42395</v>
      </c>
      <c r="B27" s="22">
        <f>ROUNDUP((A27-Yleistiedot!$B$4)/7,0)</f>
        <v>4</v>
      </c>
      <c r="C27" s="16"/>
      <c r="D27" s="16"/>
      <c r="E27" s="16"/>
      <c r="F27" s="16"/>
      <c r="G27" s="16"/>
      <c r="H27" s="16"/>
      <c r="I27" s="16"/>
      <c r="J27" s="17"/>
      <c r="K27" s="17"/>
      <c r="L27" s="62">
        <v>25</v>
      </c>
      <c r="M27" s="12"/>
      <c r="N27" s="12"/>
      <c r="O27" s="12"/>
      <c r="P27" s="12"/>
      <c r="Q27" s="12"/>
      <c r="R27" s="12"/>
      <c r="S27" s="12"/>
    </row>
    <row r="28" spans="1:19" x14ac:dyDescent="0.25">
      <c r="A28" s="177">
        <f>IF(Yleistiedot!$B$4&gt;0,Yleistiedot!$B$4+L28, )</f>
        <v>42396</v>
      </c>
      <c r="B28" s="22">
        <f>ROUNDUP((A28-Yleistiedot!$B$4)/7,0)</f>
        <v>4</v>
      </c>
      <c r="C28" s="16"/>
      <c r="D28" s="16"/>
      <c r="E28" s="16"/>
      <c r="F28" s="16"/>
      <c r="G28" s="16"/>
      <c r="H28" s="16"/>
      <c r="I28" s="16"/>
      <c r="J28" s="17"/>
      <c r="K28" s="17"/>
      <c r="L28" s="62">
        <v>26</v>
      </c>
      <c r="M28" s="12"/>
      <c r="N28" s="12"/>
      <c r="O28" s="12"/>
      <c r="P28" s="12"/>
      <c r="Q28" s="12"/>
      <c r="R28" s="12"/>
      <c r="S28" s="12"/>
    </row>
    <row r="29" spans="1:19" x14ac:dyDescent="0.25">
      <c r="A29" s="177">
        <f>IF(Yleistiedot!$B$4&gt;0,Yleistiedot!$B$4+L29, )</f>
        <v>42397</v>
      </c>
      <c r="B29" s="22">
        <f>ROUNDUP((A29-Yleistiedot!$B$4)/7,0)</f>
        <v>4</v>
      </c>
      <c r="C29" s="16"/>
      <c r="D29" s="16"/>
      <c r="E29" s="16"/>
      <c r="F29" s="16"/>
      <c r="G29" s="16"/>
      <c r="H29" s="16"/>
      <c r="I29" s="16"/>
      <c r="J29" s="17"/>
      <c r="K29" s="17"/>
      <c r="L29" s="62">
        <v>27</v>
      </c>
      <c r="M29" s="12"/>
      <c r="N29" s="12"/>
      <c r="O29" s="12"/>
      <c r="P29" s="12"/>
      <c r="Q29" s="12"/>
      <c r="R29" s="12"/>
      <c r="S29" s="12"/>
    </row>
    <row r="30" spans="1:19" x14ac:dyDescent="0.25">
      <c r="A30" s="177">
        <f>IF(Yleistiedot!$B$4&gt;0,Yleistiedot!$B$4+L30, )</f>
        <v>42398</v>
      </c>
      <c r="B30" s="22">
        <f>ROUNDUP((A30-Yleistiedot!$B$4)/7,0)</f>
        <v>4</v>
      </c>
      <c r="C30" s="16"/>
      <c r="D30" s="16"/>
      <c r="E30" s="16"/>
      <c r="F30" s="16"/>
      <c r="G30" s="16"/>
      <c r="H30" s="16"/>
      <c r="I30" s="16"/>
      <c r="J30" s="17"/>
      <c r="K30" s="17"/>
      <c r="L30" s="62">
        <v>28</v>
      </c>
      <c r="M30" s="12"/>
      <c r="N30" s="12"/>
      <c r="O30" s="12"/>
      <c r="P30" s="12"/>
      <c r="Q30" s="12"/>
      <c r="R30" s="12"/>
      <c r="S30" s="12"/>
    </row>
    <row r="31" spans="1:19" x14ac:dyDescent="0.25">
      <c r="A31" s="177">
        <f>IF(Yleistiedot!$B$4&gt;0,Yleistiedot!$B$4+L31, )</f>
        <v>42399</v>
      </c>
      <c r="B31" s="22">
        <f>ROUNDUP((A31-Yleistiedot!$B$4)/7,0)</f>
        <v>5</v>
      </c>
      <c r="C31" s="16"/>
      <c r="D31" s="16"/>
      <c r="E31" s="16"/>
      <c r="F31" s="16"/>
      <c r="G31" s="16"/>
      <c r="H31" s="16"/>
      <c r="I31" s="16"/>
      <c r="J31" s="17"/>
      <c r="K31" s="17"/>
      <c r="L31" s="62">
        <v>29</v>
      </c>
      <c r="M31" s="12"/>
      <c r="N31" s="12"/>
      <c r="O31" s="12"/>
      <c r="P31" s="12"/>
      <c r="Q31" s="12"/>
      <c r="R31" s="12"/>
      <c r="S31" s="12"/>
    </row>
    <row r="32" spans="1:19" x14ac:dyDescent="0.25">
      <c r="A32" s="177">
        <f>IF(Yleistiedot!$B$4&gt;0,Yleistiedot!$B$4+L32, )</f>
        <v>42400</v>
      </c>
      <c r="B32" s="22">
        <f>ROUNDUP((A32-Yleistiedot!$B$4)/7,0)</f>
        <v>5</v>
      </c>
      <c r="C32" s="16"/>
      <c r="D32" s="16"/>
      <c r="E32" s="16"/>
      <c r="F32" s="16"/>
      <c r="G32" s="16"/>
      <c r="H32" s="16"/>
      <c r="I32" s="16"/>
      <c r="J32" s="17"/>
      <c r="K32" s="17"/>
      <c r="L32" s="62">
        <v>30</v>
      </c>
      <c r="M32" s="12"/>
      <c r="N32" s="12"/>
      <c r="O32" s="12"/>
      <c r="P32" s="12"/>
      <c r="Q32" s="12"/>
      <c r="R32" s="12"/>
      <c r="S32" s="12"/>
    </row>
    <row r="33" spans="1:19" x14ac:dyDescent="0.25">
      <c r="A33" s="177">
        <f>IF(Yleistiedot!$B$4&gt;0,Yleistiedot!$B$4+L33, )</f>
        <v>42401</v>
      </c>
      <c r="B33" s="22">
        <f>ROUNDUP((A33-Yleistiedot!$B$4)/7,0)</f>
        <v>5</v>
      </c>
      <c r="C33" s="16"/>
      <c r="D33" s="16"/>
      <c r="E33" s="16"/>
      <c r="F33" s="16"/>
      <c r="G33" s="16"/>
      <c r="H33" s="16"/>
      <c r="I33" s="16"/>
      <c r="J33" s="17"/>
      <c r="K33" s="17"/>
      <c r="L33" s="62">
        <v>31</v>
      </c>
      <c r="M33" s="12"/>
      <c r="N33" s="12"/>
      <c r="O33" s="12"/>
      <c r="P33" s="12"/>
      <c r="Q33" s="12"/>
      <c r="R33" s="12"/>
      <c r="S33" s="12"/>
    </row>
    <row r="34" spans="1:19" x14ac:dyDescent="0.25">
      <c r="A34" s="177">
        <f>IF(Yleistiedot!$B$4&gt;0,Yleistiedot!$B$4+L34, )</f>
        <v>42402</v>
      </c>
      <c r="B34" s="22">
        <f>ROUNDUP((A34-Yleistiedot!$B$4)/7,0)</f>
        <v>5</v>
      </c>
      <c r="C34" s="16"/>
      <c r="D34" s="16"/>
      <c r="E34" s="16"/>
      <c r="F34" s="16"/>
      <c r="G34" s="16"/>
      <c r="H34" s="16"/>
      <c r="I34" s="16"/>
      <c r="J34" s="17"/>
      <c r="K34" s="17"/>
      <c r="L34" s="62">
        <v>32</v>
      </c>
    </row>
    <row r="35" spans="1:19" x14ac:dyDescent="0.25">
      <c r="A35" s="177">
        <f>IF(Yleistiedot!$B$4&gt;0,Yleistiedot!$B$4+L35, )</f>
        <v>42403</v>
      </c>
      <c r="B35" s="22">
        <f>ROUNDUP((A35-Yleistiedot!$B$4)/7,0)</f>
        <v>5</v>
      </c>
      <c r="C35" s="16"/>
      <c r="D35" s="16"/>
      <c r="E35" s="16"/>
      <c r="F35" s="16"/>
      <c r="G35" s="16"/>
      <c r="H35" s="16"/>
      <c r="I35" s="16"/>
      <c r="J35" s="17"/>
      <c r="K35" s="17"/>
      <c r="L35" s="62">
        <v>33</v>
      </c>
    </row>
    <row r="36" spans="1:19" x14ac:dyDescent="0.25">
      <c r="A36" s="177">
        <f>IF(Yleistiedot!$B$4&gt;0,Yleistiedot!$B$4+L36, )</f>
        <v>42404</v>
      </c>
      <c r="B36" s="22">
        <f>ROUNDUP((A36-Yleistiedot!$B$4)/7,0)</f>
        <v>5</v>
      </c>
      <c r="C36" s="16"/>
      <c r="D36" s="16"/>
      <c r="E36" s="16"/>
      <c r="F36" s="16"/>
      <c r="G36" s="16"/>
      <c r="H36" s="16"/>
      <c r="I36" s="16"/>
      <c r="J36" s="17"/>
      <c r="K36" s="17"/>
      <c r="L36" s="62">
        <v>34</v>
      </c>
    </row>
    <row r="37" spans="1:19" x14ac:dyDescent="0.25">
      <c r="A37" s="177">
        <f>IF(Yleistiedot!$B$4&gt;0,Yleistiedot!$B$4+L37, )</f>
        <v>42405</v>
      </c>
      <c r="B37" s="22">
        <f>ROUNDUP((A37-Yleistiedot!$B$4)/7,0)</f>
        <v>5</v>
      </c>
      <c r="C37" s="16"/>
      <c r="D37" s="16"/>
      <c r="E37" s="16"/>
      <c r="F37" s="16"/>
      <c r="G37" s="16"/>
      <c r="H37" s="16"/>
      <c r="I37" s="16"/>
      <c r="J37" s="17"/>
      <c r="K37" s="17"/>
      <c r="L37" s="62">
        <v>35</v>
      </c>
    </row>
    <row r="38" spans="1:19" x14ac:dyDescent="0.25">
      <c r="A38" s="177">
        <f>IF(Yleistiedot!$B$4&gt;0,Yleistiedot!$B$4+L38, )</f>
        <v>42406</v>
      </c>
      <c r="B38" s="22">
        <f>ROUNDUP((A38-Yleistiedot!$B$4)/7,0)</f>
        <v>6</v>
      </c>
      <c r="C38" s="16"/>
      <c r="D38" s="16"/>
      <c r="E38" s="16"/>
      <c r="F38" s="16"/>
      <c r="G38" s="16"/>
      <c r="H38" s="16"/>
      <c r="I38" s="16"/>
      <c r="J38" s="17"/>
      <c r="K38" s="17"/>
      <c r="L38" s="62">
        <v>36</v>
      </c>
    </row>
    <row r="39" spans="1:19" x14ac:dyDescent="0.25">
      <c r="A39" s="177">
        <f>IF(Yleistiedot!$B$4&gt;0,Yleistiedot!$B$4+L39, )</f>
        <v>42407</v>
      </c>
      <c r="B39" s="22">
        <f>ROUNDUP((A39-Yleistiedot!$B$4)/7,0)</f>
        <v>6</v>
      </c>
      <c r="C39" s="16"/>
      <c r="D39" s="16"/>
      <c r="E39" s="16"/>
      <c r="F39" s="16"/>
      <c r="G39" s="16"/>
      <c r="H39" s="16"/>
      <c r="I39" s="16"/>
      <c r="J39" s="17"/>
      <c r="K39" s="17"/>
      <c r="L39" s="62">
        <v>37</v>
      </c>
    </row>
    <row r="40" spans="1:19" x14ac:dyDescent="0.25">
      <c r="A40" s="177">
        <f>IF(Yleistiedot!$B$4&gt;0,Yleistiedot!$B$4+L40, )</f>
        <v>42408</v>
      </c>
      <c r="B40" s="22">
        <f>ROUNDUP((A40-Yleistiedot!$B$4)/7,0)</f>
        <v>6</v>
      </c>
      <c r="C40" s="16"/>
      <c r="D40" s="16"/>
      <c r="E40" s="16"/>
      <c r="F40" s="16"/>
      <c r="G40" s="16"/>
      <c r="H40" s="16"/>
      <c r="I40" s="16"/>
      <c r="J40" s="17"/>
      <c r="K40" s="17"/>
      <c r="L40" s="62">
        <v>38</v>
      </c>
    </row>
    <row r="41" spans="1:19" x14ac:dyDescent="0.25">
      <c r="A41" s="177">
        <f>IF(Yleistiedot!$B$4&gt;0,Yleistiedot!$B$4+L41, )</f>
        <v>42409</v>
      </c>
      <c r="B41" s="22">
        <f>ROUNDUP((A41-Yleistiedot!$B$4)/7,0)</f>
        <v>6</v>
      </c>
      <c r="C41" s="16"/>
      <c r="D41" s="16"/>
      <c r="E41" s="16"/>
      <c r="F41" s="16"/>
      <c r="G41" s="16"/>
      <c r="H41" s="16"/>
      <c r="I41" s="16"/>
      <c r="J41" s="17"/>
      <c r="K41" s="17"/>
      <c r="L41" s="62">
        <v>39</v>
      </c>
    </row>
    <row r="42" spans="1:19" x14ac:dyDescent="0.25">
      <c r="A42" s="177">
        <f>IF(Yleistiedot!$B$4&gt;0,Yleistiedot!$B$4+L42, )</f>
        <v>42410</v>
      </c>
      <c r="B42" s="22">
        <f>ROUNDUP((A42-Yleistiedot!$B$4)/7,0)</f>
        <v>6</v>
      </c>
      <c r="C42" s="16"/>
      <c r="D42" s="16"/>
      <c r="E42" s="16"/>
      <c r="F42" s="16"/>
      <c r="G42" s="16"/>
      <c r="H42" s="16"/>
      <c r="I42" s="16"/>
      <c r="J42" s="17"/>
      <c r="K42" s="17"/>
      <c r="L42" s="62">
        <v>40</v>
      </c>
    </row>
    <row r="43" spans="1:19" x14ac:dyDescent="0.25">
      <c r="A43" s="177">
        <f>IF(Yleistiedot!$B$4&gt;0,Yleistiedot!$B$4+L43, )</f>
        <v>42411</v>
      </c>
      <c r="B43" s="22">
        <f>ROUNDUP((A43-Yleistiedot!$B$4)/7,0)</f>
        <v>6</v>
      </c>
      <c r="C43" s="16"/>
      <c r="D43" s="16"/>
      <c r="E43" s="16"/>
      <c r="F43" s="16"/>
      <c r="G43" s="16"/>
      <c r="H43" s="16"/>
      <c r="I43" s="16"/>
      <c r="J43" s="17"/>
      <c r="K43" s="17"/>
      <c r="L43" s="62">
        <v>41</v>
      </c>
    </row>
    <row r="44" spans="1:19" x14ac:dyDescent="0.25">
      <c r="A44" s="177">
        <f>IF(Yleistiedot!$B$4&gt;0,Yleistiedot!$B$4+L44, )</f>
        <v>42412</v>
      </c>
      <c r="B44" s="22">
        <f>ROUNDUP((A44-Yleistiedot!$B$4)/7,0)</f>
        <v>6</v>
      </c>
      <c r="C44" s="16"/>
      <c r="D44" s="16"/>
      <c r="E44" s="16"/>
      <c r="F44" s="16"/>
      <c r="G44" s="16"/>
      <c r="H44" s="16"/>
      <c r="I44" s="16"/>
      <c r="J44" s="17"/>
      <c r="K44" s="17"/>
      <c r="L44" s="62">
        <v>42</v>
      </c>
    </row>
    <row r="45" spans="1:19" x14ac:dyDescent="0.25">
      <c r="A45" s="177">
        <f>IF(Yleistiedot!$B$4&gt;0,Yleistiedot!$B$4+L45, )</f>
        <v>42413</v>
      </c>
      <c r="B45" s="22">
        <f>ROUNDUP((A45-Yleistiedot!$B$4)/7,0)</f>
        <v>7</v>
      </c>
      <c r="C45" s="16"/>
      <c r="D45" s="16"/>
      <c r="E45" s="16"/>
      <c r="F45" s="16"/>
      <c r="G45" s="16"/>
      <c r="H45" s="16"/>
      <c r="I45" s="16"/>
      <c r="J45" s="17"/>
      <c r="K45" s="17"/>
      <c r="L45" s="62">
        <v>43</v>
      </c>
    </row>
    <row r="46" spans="1:19" x14ac:dyDescent="0.25">
      <c r="A46" s="177">
        <f>IF(Yleistiedot!$B$4&gt;0,Yleistiedot!$B$4+L46, )</f>
        <v>42414</v>
      </c>
      <c r="B46" s="22">
        <f>ROUNDUP((A46-Yleistiedot!$B$4)/7,0)</f>
        <v>7</v>
      </c>
      <c r="C46" s="16"/>
      <c r="D46" s="16"/>
      <c r="E46" s="16"/>
      <c r="F46" s="16"/>
      <c r="G46" s="16"/>
      <c r="H46" s="16"/>
      <c r="I46" s="16"/>
      <c r="J46" s="17"/>
      <c r="K46" s="17"/>
      <c r="L46" s="62">
        <v>44</v>
      </c>
    </row>
    <row r="47" spans="1:19" x14ac:dyDescent="0.25">
      <c r="A47" s="177">
        <f>IF(Yleistiedot!$B$4&gt;0,Yleistiedot!$B$4+L47, )</f>
        <v>42415</v>
      </c>
      <c r="B47" s="22">
        <f>ROUNDUP((A47-Yleistiedot!$B$4)/7,0)</f>
        <v>7</v>
      </c>
      <c r="C47" s="16"/>
      <c r="D47" s="16"/>
      <c r="E47" s="16"/>
      <c r="F47" s="16"/>
      <c r="G47" s="16"/>
      <c r="H47" s="16"/>
      <c r="I47" s="16"/>
      <c r="J47" s="17"/>
      <c r="K47" s="17"/>
      <c r="L47" s="62">
        <v>45</v>
      </c>
    </row>
    <row r="48" spans="1:19" x14ac:dyDescent="0.25">
      <c r="A48" s="177">
        <f>IF(Yleistiedot!$B$4&gt;0,Yleistiedot!$B$4+L48, )</f>
        <v>42416</v>
      </c>
      <c r="B48" s="22">
        <f>ROUNDUP((A48-Yleistiedot!$B$4)/7,0)</f>
        <v>7</v>
      </c>
      <c r="C48" s="16"/>
      <c r="D48" s="16"/>
      <c r="E48" s="16"/>
      <c r="F48" s="16"/>
      <c r="G48" s="16"/>
      <c r="H48" s="16"/>
      <c r="I48" s="16"/>
      <c r="J48" s="17"/>
      <c r="K48" s="17"/>
      <c r="L48" s="62">
        <v>46</v>
      </c>
    </row>
    <row r="49" spans="1:12" x14ac:dyDescent="0.25">
      <c r="A49" s="177">
        <f>IF(Yleistiedot!$B$4&gt;0,Yleistiedot!$B$4+L49, )</f>
        <v>42417</v>
      </c>
      <c r="B49" s="22">
        <f>ROUNDUP((A49-Yleistiedot!$B$4)/7,0)</f>
        <v>7</v>
      </c>
      <c r="C49" s="16"/>
      <c r="D49" s="16"/>
      <c r="E49" s="16"/>
      <c r="F49" s="16"/>
      <c r="G49" s="16"/>
      <c r="H49" s="16"/>
      <c r="I49" s="16"/>
      <c r="J49" s="17"/>
      <c r="K49" s="17"/>
      <c r="L49" s="62">
        <v>47</v>
      </c>
    </row>
    <row r="50" spans="1:12" x14ac:dyDescent="0.25">
      <c r="A50" s="177">
        <f>IF(Yleistiedot!$B$4&gt;0,Yleistiedot!$B$4+L50, )</f>
        <v>42418</v>
      </c>
      <c r="B50" s="22">
        <f>ROUNDUP((A50-Yleistiedot!$B$4)/7,0)</f>
        <v>7</v>
      </c>
      <c r="C50" s="16"/>
      <c r="D50" s="16"/>
      <c r="E50" s="16"/>
      <c r="F50" s="16"/>
      <c r="G50" s="16"/>
      <c r="H50" s="16"/>
      <c r="I50" s="16"/>
      <c r="J50" s="17"/>
      <c r="K50" s="17"/>
      <c r="L50" s="62">
        <v>48</v>
      </c>
    </row>
    <row r="51" spans="1:12" x14ac:dyDescent="0.25">
      <c r="A51" s="177">
        <f>IF(Yleistiedot!$B$4&gt;0,Yleistiedot!$B$4+L51, )</f>
        <v>42419</v>
      </c>
      <c r="B51" s="22">
        <f>ROUNDUP((A51-Yleistiedot!$B$4)/7,0)</f>
        <v>7</v>
      </c>
      <c r="C51" s="16"/>
      <c r="D51" s="16"/>
      <c r="E51" s="16"/>
      <c r="F51" s="16"/>
      <c r="G51" s="16"/>
      <c r="H51" s="16"/>
      <c r="I51" s="16"/>
      <c r="J51" s="17"/>
      <c r="K51" s="17"/>
      <c r="L51" s="62">
        <v>49</v>
      </c>
    </row>
    <row r="52" spans="1:12" x14ac:dyDescent="0.25">
      <c r="A52" s="177">
        <f>IF(Yleistiedot!$B$4&gt;0,Yleistiedot!$B$4+L52, )</f>
        <v>42420</v>
      </c>
      <c r="B52" s="22">
        <f>ROUNDUP((A52-Yleistiedot!$B$4)/7,0)</f>
        <v>8</v>
      </c>
      <c r="C52" s="16"/>
      <c r="D52" s="16"/>
      <c r="E52" s="16"/>
      <c r="F52" s="16"/>
      <c r="G52" s="16"/>
      <c r="H52" s="16"/>
      <c r="I52" s="16"/>
      <c r="J52" s="17"/>
      <c r="K52" s="17"/>
      <c r="L52" s="62">
        <v>50</v>
      </c>
    </row>
    <row r="53" spans="1:12" x14ac:dyDescent="0.25">
      <c r="A53" s="177">
        <f>IF(Yleistiedot!$B$4&gt;0,Yleistiedot!$B$4+L53, )</f>
        <v>42421</v>
      </c>
      <c r="B53" s="22">
        <f>ROUNDUP((A53-Yleistiedot!$B$4)/7,0)</f>
        <v>8</v>
      </c>
      <c r="C53" s="16"/>
      <c r="D53" s="16"/>
      <c r="E53" s="16"/>
      <c r="F53" s="16"/>
      <c r="G53" s="16"/>
      <c r="H53" s="16"/>
      <c r="I53" s="16"/>
      <c r="J53" s="17"/>
      <c r="K53" s="17"/>
      <c r="L53" s="62">
        <v>51</v>
      </c>
    </row>
    <row r="54" spans="1:12" x14ac:dyDescent="0.25">
      <c r="A54" s="177">
        <f>IF(Yleistiedot!$B$4&gt;0,Yleistiedot!$B$4+L54, )</f>
        <v>42422</v>
      </c>
      <c r="B54" s="22">
        <f>ROUNDUP((A54-Yleistiedot!$B$4)/7,0)</f>
        <v>8</v>
      </c>
      <c r="C54" s="16"/>
      <c r="D54" s="16"/>
      <c r="E54" s="16"/>
      <c r="F54" s="16"/>
      <c r="G54" s="16"/>
      <c r="H54" s="16"/>
      <c r="I54" s="16"/>
      <c r="J54" s="17"/>
      <c r="K54" s="17"/>
      <c r="L54" s="62">
        <v>52</v>
      </c>
    </row>
    <row r="55" spans="1:12" x14ac:dyDescent="0.25">
      <c r="A55" s="177">
        <f>IF(Yleistiedot!$B$4&gt;0,Yleistiedot!$B$4+L55, )</f>
        <v>42423</v>
      </c>
      <c r="B55" s="22">
        <f>ROUNDUP((A55-Yleistiedot!$B$4)/7,0)</f>
        <v>8</v>
      </c>
      <c r="C55" s="16"/>
      <c r="D55" s="16"/>
      <c r="E55" s="16"/>
      <c r="F55" s="16"/>
      <c r="G55" s="16"/>
      <c r="H55" s="16"/>
      <c r="I55" s="16"/>
      <c r="J55" s="17"/>
      <c r="K55" s="17"/>
      <c r="L55" s="62">
        <v>53</v>
      </c>
    </row>
    <row r="56" spans="1:12" x14ac:dyDescent="0.25">
      <c r="A56" s="177">
        <f>IF(Yleistiedot!$B$4&gt;0,Yleistiedot!$B$4+L56, )</f>
        <v>42424</v>
      </c>
      <c r="B56" s="22">
        <f>ROUNDUP((A56-Yleistiedot!$B$4)/7,0)</f>
        <v>8</v>
      </c>
      <c r="C56" s="16"/>
      <c r="D56" s="16"/>
      <c r="E56" s="16"/>
      <c r="F56" s="16"/>
      <c r="G56" s="16"/>
      <c r="H56" s="16"/>
      <c r="I56" s="16"/>
      <c r="J56" s="17"/>
      <c r="K56" s="17"/>
      <c r="L56" s="62">
        <v>54</v>
      </c>
    </row>
    <row r="57" spans="1:12" x14ac:dyDescent="0.25">
      <c r="A57" s="177">
        <f>IF(Yleistiedot!$B$4&gt;0,Yleistiedot!$B$4+L57, )</f>
        <v>42425</v>
      </c>
      <c r="B57" s="22">
        <f>ROUNDUP((A57-Yleistiedot!$B$4)/7,0)</f>
        <v>8</v>
      </c>
      <c r="C57" s="16"/>
      <c r="D57" s="16"/>
      <c r="E57" s="16"/>
      <c r="F57" s="16"/>
      <c r="G57" s="16"/>
      <c r="H57" s="16"/>
      <c r="I57" s="16"/>
      <c r="J57" s="17"/>
      <c r="K57" s="17"/>
      <c r="L57" s="62">
        <v>55</v>
      </c>
    </row>
    <row r="58" spans="1:12" x14ac:dyDescent="0.25">
      <c r="A58" s="177">
        <f>IF(Yleistiedot!$B$4&gt;0,Yleistiedot!$B$4+L58, )</f>
        <v>42426</v>
      </c>
      <c r="B58" s="22">
        <f>ROUNDUP((A58-Yleistiedot!$B$4)/7,0)</f>
        <v>8</v>
      </c>
      <c r="C58" s="16"/>
      <c r="D58" s="16"/>
      <c r="E58" s="16"/>
      <c r="F58" s="16"/>
      <c r="G58" s="16"/>
      <c r="H58" s="16"/>
      <c r="I58" s="16"/>
      <c r="J58" s="17"/>
      <c r="K58" s="17"/>
      <c r="L58" s="62">
        <v>56</v>
      </c>
    </row>
    <row r="59" spans="1:12" x14ac:dyDescent="0.25">
      <c r="A59" s="177">
        <f>IF(Yleistiedot!$B$4&gt;0,Yleistiedot!$B$4+L59, )</f>
        <v>42427</v>
      </c>
      <c r="B59" s="22">
        <f>ROUNDUP((A59-Yleistiedot!$B$4)/7,0)</f>
        <v>9</v>
      </c>
      <c r="C59" s="16"/>
      <c r="D59" s="16"/>
      <c r="E59" s="16"/>
      <c r="F59" s="16"/>
      <c r="G59" s="16"/>
      <c r="H59" s="16"/>
      <c r="I59" s="16"/>
      <c r="J59" s="17"/>
      <c r="K59" s="17"/>
      <c r="L59" s="62">
        <v>57</v>
      </c>
    </row>
    <row r="60" spans="1:12" x14ac:dyDescent="0.25">
      <c r="A60" s="177">
        <f>IF(Yleistiedot!$B$4&gt;0,Yleistiedot!$B$4+L60, )</f>
        <v>42428</v>
      </c>
      <c r="B60" s="22">
        <f>ROUNDUP((A60-Yleistiedot!$B$4)/7,0)</f>
        <v>9</v>
      </c>
      <c r="C60" s="16"/>
      <c r="D60" s="16"/>
      <c r="E60" s="16"/>
      <c r="F60" s="16"/>
      <c r="G60" s="16"/>
      <c r="H60" s="16"/>
      <c r="I60" s="16"/>
      <c r="J60" s="17"/>
      <c r="K60" s="17"/>
      <c r="L60" s="62">
        <v>58</v>
      </c>
    </row>
    <row r="61" spans="1:12" x14ac:dyDescent="0.25">
      <c r="A61" s="177">
        <f>IF(Yleistiedot!$B$4&gt;0,Yleistiedot!$B$4+L61, )</f>
        <v>42429</v>
      </c>
      <c r="B61" s="22">
        <f>ROUNDUP((A61-Yleistiedot!$B$4)/7,0)</f>
        <v>9</v>
      </c>
      <c r="C61" s="16"/>
      <c r="D61" s="16"/>
      <c r="E61" s="16"/>
      <c r="F61" s="16"/>
      <c r="G61" s="16"/>
      <c r="H61" s="16"/>
      <c r="I61" s="16"/>
      <c r="J61" s="17"/>
      <c r="K61" s="17"/>
      <c r="L61" s="62">
        <v>59</v>
      </c>
    </row>
    <row r="62" spans="1:12" x14ac:dyDescent="0.25">
      <c r="A62" s="177">
        <f>IF(Yleistiedot!$B$4&gt;0,Yleistiedot!$B$4+L62, )</f>
        <v>42430</v>
      </c>
      <c r="B62" s="22">
        <f>ROUNDUP((A62-Yleistiedot!$B$4)/7,0)</f>
        <v>9</v>
      </c>
      <c r="C62" s="16"/>
      <c r="D62" s="16"/>
      <c r="E62" s="16"/>
      <c r="F62" s="16"/>
      <c r="G62" s="16"/>
      <c r="H62" s="16"/>
      <c r="I62" s="16"/>
      <c r="J62" s="17"/>
      <c r="K62" s="17"/>
      <c r="L62" s="62">
        <v>60</v>
      </c>
    </row>
    <row r="63" spans="1:12" x14ac:dyDescent="0.25">
      <c r="A63" s="177">
        <f>IF(Yleistiedot!$B$4&gt;0,Yleistiedot!$B$4+L63, )</f>
        <v>42431</v>
      </c>
      <c r="B63" s="22">
        <f>ROUNDUP((A63-Yleistiedot!$B$4)/7,0)</f>
        <v>9</v>
      </c>
      <c r="C63" s="16"/>
      <c r="D63" s="16"/>
      <c r="E63" s="16"/>
      <c r="F63" s="16"/>
      <c r="G63" s="16"/>
      <c r="H63" s="16"/>
      <c r="I63" s="16"/>
      <c r="J63" s="17"/>
      <c r="K63" s="17"/>
      <c r="L63" s="62">
        <v>61</v>
      </c>
    </row>
    <row r="64" spans="1:12" x14ac:dyDescent="0.25">
      <c r="A64" s="177">
        <f>IF(Yleistiedot!$B$4&gt;0,Yleistiedot!$B$4+L64, )</f>
        <v>42432</v>
      </c>
      <c r="B64" s="22">
        <f>ROUNDUP((A64-Yleistiedot!$B$4)/7,0)</f>
        <v>9</v>
      </c>
      <c r="C64" s="16"/>
      <c r="D64" s="16"/>
      <c r="E64" s="16"/>
      <c r="F64" s="16"/>
      <c r="G64" s="16"/>
      <c r="H64" s="16"/>
      <c r="I64" s="16"/>
      <c r="J64" s="17"/>
      <c r="K64" s="17"/>
      <c r="L64" s="62">
        <v>62</v>
      </c>
    </row>
    <row r="65" spans="1:12" x14ac:dyDescent="0.25">
      <c r="A65" s="177">
        <f>IF(Yleistiedot!$B$4&gt;0,Yleistiedot!$B$4+L65, )</f>
        <v>42433</v>
      </c>
      <c r="B65" s="22">
        <f>ROUNDUP((A65-Yleistiedot!$B$4)/7,0)</f>
        <v>9</v>
      </c>
      <c r="C65" s="16"/>
      <c r="D65" s="16"/>
      <c r="E65" s="16"/>
      <c r="F65" s="16"/>
      <c r="G65" s="16"/>
      <c r="H65" s="16"/>
      <c r="I65" s="16"/>
      <c r="J65" s="17"/>
      <c r="K65" s="17"/>
      <c r="L65" s="62">
        <v>63</v>
      </c>
    </row>
    <row r="66" spans="1:12" x14ac:dyDescent="0.25">
      <c r="A66" s="177">
        <f>IF(Yleistiedot!$B$4&gt;0,Yleistiedot!$B$4+L66, )</f>
        <v>42434</v>
      </c>
      <c r="B66" s="22">
        <f>ROUNDUP((A66-Yleistiedot!$B$4)/7,0)</f>
        <v>10</v>
      </c>
      <c r="C66" s="16"/>
      <c r="D66" s="16"/>
      <c r="E66" s="16"/>
      <c r="F66" s="16"/>
      <c r="G66" s="16"/>
      <c r="H66" s="16"/>
      <c r="I66" s="16"/>
      <c r="J66" s="17"/>
      <c r="K66" s="17"/>
      <c r="L66" s="62">
        <v>64</v>
      </c>
    </row>
    <row r="67" spans="1:12" x14ac:dyDescent="0.25">
      <c r="A67" s="177">
        <f>IF(Yleistiedot!$B$4&gt;0,Yleistiedot!$B$4+L67, )</f>
        <v>42435</v>
      </c>
      <c r="B67" s="22">
        <f>ROUNDUP((A67-Yleistiedot!$B$4)/7,0)</f>
        <v>10</v>
      </c>
      <c r="C67" s="16"/>
      <c r="D67" s="16"/>
      <c r="E67" s="16"/>
      <c r="F67" s="16"/>
      <c r="G67" s="16"/>
      <c r="H67" s="16"/>
      <c r="I67" s="16"/>
      <c r="J67" s="17"/>
      <c r="K67" s="17"/>
      <c r="L67" s="62">
        <v>65</v>
      </c>
    </row>
    <row r="68" spans="1:12" x14ac:dyDescent="0.25">
      <c r="A68" s="177">
        <f>IF(Yleistiedot!$B$4&gt;0,Yleistiedot!$B$4+L68, )</f>
        <v>42436</v>
      </c>
      <c r="B68" s="22">
        <f>ROUNDUP((A68-Yleistiedot!$B$4)/7,0)</f>
        <v>10</v>
      </c>
      <c r="C68" s="16"/>
      <c r="D68" s="16"/>
      <c r="E68" s="16"/>
      <c r="F68" s="16"/>
      <c r="G68" s="16"/>
      <c r="H68" s="16"/>
      <c r="I68" s="16"/>
      <c r="J68" s="17"/>
      <c r="K68" s="17"/>
      <c r="L68" s="62">
        <v>66</v>
      </c>
    </row>
    <row r="69" spans="1:12" x14ac:dyDescent="0.25">
      <c r="A69" s="177">
        <f>IF(Yleistiedot!$B$4&gt;0,Yleistiedot!$B$4+L69, )</f>
        <v>42437</v>
      </c>
      <c r="B69" s="22">
        <f>ROUNDUP((A69-Yleistiedot!$B$4)/7,0)</f>
        <v>10</v>
      </c>
      <c r="C69" s="16"/>
      <c r="D69" s="16"/>
      <c r="E69" s="16"/>
      <c r="F69" s="16"/>
      <c r="G69" s="16"/>
      <c r="H69" s="16"/>
      <c r="I69" s="16"/>
      <c r="J69" s="17"/>
      <c r="K69" s="17"/>
      <c r="L69" s="62">
        <v>67</v>
      </c>
    </row>
    <row r="70" spans="1:12" x14ac:dyDescent="0.25">
      <c r="A70" s="177">
        <f>IF(Yleistiedot!$B$4&gt;0,Yleistiedot!$B$4+L70, )</f>
        <v>42438</v>
      </c>
      <c r="B70" s="22">
        <f>ROUNDUP((A70-Yleistiedot!$B$4)/7,0)</f>
        <v>10</v>
      </c>
      <c r="C70" s="16"/>
      <c r="D70" s="16"/>
      <c r="E70" s="16"/>
      <c r="F70" s="16"/>
      <c r="G70" s="16"/>
      <c r="H70" s="16"/>
      <c r="I70" s="16"/>
      <c r="J70" s="17"/>
      <c r="K70" s="17"/>
      <c r="L70" s="62">
        <v>68</v>
      </c>
    </row>
    <row r="71" spans="1:12" x14ac:dyDescent="0.25">
      <c r="A71" s="177">
        <f>IF(Yleistiedot!$B$4&gt;0,Yleistiedot!$B$4+L71, )</f>
        <v>42439</v>
      </c>
      <c r="B71" s="22">
        <f>ROUNDUP((A71-Yleistiedot!$B$4)/7,0)</f>
        <v>10</v>
      </c>
      <c r="C71" s="16"/>
      <c r="D71" s="16"/>
      <c r="E71" s="16"/>
      <c r="F71" s="16"/>
      <c r="G71" s="16"/>
      <c r="H71" s="16"/>
      <c r="I71" s="16"/>
      <c r="J71" s="17"/>
      <c r="K71" s="17"/>
      <c r="L71" s="62">
        <v>69</v>
      </c>
    </row>
    <row r="72" spans="1:12" x14ac:dyDescent="0.25">
      <c r="A72" s="177">
        <f>IF(Yleistiedot!$B$4&gt;0,Yleistiedot!$B$4+L72, )</f>
        <v>42440</v>
      </c>
      <c r="B72" s="22">
        <f>ROUNDUP((A72-Yleistiedot!$B$4)/7,0)</f>
        <v>10</v>
      </c>
      <c r="C72" s="16"/>
      <c r="D72" s="16"/>
      <c r="E72" s="16"/>
      <c r="F72" s="16"/>
      <c r="G72" s="16"/>
      <c r="H72" s="16"/>
      <c r="I72" s="16"/>
      <c r="J72" s="17"/>
      <c r="K72" s="17"/>
      <c r="L72" s="62">
        <v>70</v>
      </c>
    </row>
    <row r="73" spans="1:12" x14ac:dyDescent="0.25">
      <c r="A73" s="177">
        <f>IF(Yleistiedot!$B$4&gt;0,Yleistiedot!$B$4+L73, )</f>
        <v>42441</v>
      </c>
      <c r="B73" s="22">
        <f>ROUNDUP((A73-Yleistiedot!$B$4)/7,0)</f>
        <v>11</v>
      </c>
      <c r="C73" s="16"/>
      <c r="D73" s="16"/>
      <c r="E73" s="16"/>
      <c r="F73" s="16"/>
      <c r="G73" s="16"/>
      <c r="H73" s="16"/>
      <c r="I73" s="16"/>
      <c r="J73" s="17"/>
      <c r="K73" s="17"/>
      <c r="L73" s="62">
        <v>71</v>
      </c>
    </row>
    <row r="74" spans="1:12" x14ac:dyDescent="0.25">
      <c r="A74" s="177">
        <f>IF(Yleistiedot!$B$4&gt;0,Yleistiedot!$B$4+L74, )</f>
        <v>42442</v>
      </c>
      <c r="B74" s="22">
        <f>ROUNDUP((A74-Yleistiedot!$B$4)/7,0)</f>
        <v>11</v>
      </c>
      <c r="C74" s="16"/>
      <c r="D74" s="16"/>
      <c r="E74" s="16"/>
      <c r="F74" s="16"/>
      <c r="G74" s="16"/>
      <c r="H74" s="16"/>
      <c r="I74" s="16"/>
      <c r="J74" s="17"/>
      <c r="K74" s="17"/>
      <c r="L74" s="62">
        <v>72</v>
      </c>
    </row>
    <row r="75" spans="1:12" x14ac:dyDescent="0.25">
      <c r="A75" s="177">
        <f>IF(Yleistiedot!$B$4&gt;0,Yleistiedot!$B$4+L75, )</f>
        <v>42443</v>
      </c>
      <c r="B75" s="22">
        <f>ROUNDUP((A75-Yleistiedot!$B$4)/7,0)</f>
        <v>11</v>
      </c>
      <c r="C75" s="16"/>
      <c r="D75" s="16"/>
      <c r="E75" s="16"/>
      <c r="F75" s="16"/>
      <c r="G75" s="16"/>
      <c r="H75" s="16"/>
      <c r="I75" s="16"/>
      <c r="J75" s="17"/>
      <c r="K75" s="17"/>
      <c r="L75" s="62">
        <v>73</v>
      </c>
    </row>
    <row r="76" spans="1:12" x14ac:dyDescent="0.25">
      <c r="A76" s="177">
        <f>IF(Yleistiedot!$B$4&gt;0,Yleistiedot!$B$4+L76, )</f>
        <v>42444</v>
      </c>
      <c r="B76" s="22">
        <f>ROUNDUP((A76-Yleistiedot!$B$4)/7,0)</f>
        <v>11</v>
      </c>
      <c r="C76" s="16"/>
      <c r="D76" s="16"/>
      <c r="E76" s="16"/>
      <c r="F76" s="16"/>
      <c r="G76" s="16"/>
      <c r="H76" s="16"/>
      <c r="I76" s="16"/>
      <c r="J76" s="17"/>
      <c r="K76" s="17"/>
      <c r="L76" s="62">
        <v>74</v>
      </c>
    </row>
    <row r="77" spans="1:12" x14ac:dyDescent="0.25">
      <c r="A77" s="177">
        <f>IF(Yleistiedot!$B$4&gt;0,Yleistiedot!$B$4+L77, )</f>
        <v>42445</v>
      </c>
      <c r="B77" s="22">
        <f>ROUNDUP((A77-Yleistiedot!$B$4)/7,0)</f>
        <v>11</v>
      </c>
      <c r="C77" s="16"/>
      <c r="D77" s="16"/>
      <c r="E77" s="16"/>
      <c r="F77" s="16"/>
      <c r="G77" s="16"/>
      <c r="H77" s="16"/>
      <c r="I77" s="16"/>
      <c r="J77" s="17"/>
      <c r="K77" s="17"/>
      <c r="L77" s="62">
        <v>75</v>
      </c>
    </row>
    <row r="78" spans="1:12" x14ac:dyDescent="0.25">
      <c r="A78" s="177">
        <f>IF(Yleistiedot!$B$4&gt;0,Yleistiedot!$B$4+L78, )</f>
        <v>42446</v>
      </c>
      <c r="B78" s="22">
        <f>ROUNDUP((A78-Yleistiedot!$B$4)/7,0)</f>
        <v>11</v>
      </c>
      <c r="C78" s="16"/>
      <c r="D78" s="16"/>
      <c r="E78" s="16"/>
      <c r="F78" s="16"/>
      <c r="G78" s="16"/>
      <c r="H78" s="16"/>
      <c r="I78" s="16"/>
      <c r="J78" s="17"/>
      <c r="K78" s="17"/>
      <c r="L78" s="62">
        <v>76</v>
      </c>
    </row>
    <row r="79" spans="1:12" x14ac:dyDescent="0.25">
      <c r="A79" s="177">
        <f>IF(Yleistiedot!$B$4&gt;0,Yleistiedot!$B$4+L79, )</f>
        <v>42447</v>
      </c>
      <c r="B79" s="22">
        <f>ROUNDUP((A79-Yleistiedot!$B$4)/7,0)</f>
        <v>11</v>
      </c>
      <c r="C79" s="16"/>
      <c r="D79" s="16"/>
      <c r="E79" s="16"/>
      <c r="F79" s="16"/>
      <c r="G79" s="16"/>
      <c r="H79" s="16"/>
      <c r="I79" s="16"/>
      <c r="J79" s="17"/>
      <c r="K79" s="17"/>
      <c r="L79" s="62">
        <v>77</v>
      </c>
    </row>
    <row r="80" spans="1:12" x14ac:dyDescent="0.25">
      <c r="A80" s="177">
        <f>IF(Yleistiedot!$B$4&gt;0,Yleistiedot!$B$4+L80, )</f>
        <v>42448</v>
      </c>
      <c r="B80" s="22">
        <f>ROUNDUP((A80-Yleistiedot!$B$4)/7,0)</f>
        <v>12</v>
      </c>
      <c r="C80" s="16"/>
      <c r="D80" s="16"/>
      <c r="E80" s="16"/>
      <c r="F80" s="16"/>
      <c r="G80" s="16"/>
      <c r="H80" s="16"/>
      <c r="I80" s="16"/>
      <c r="J80" s="17"/>
      <c r="K80" s="17"/>
      <c r="L80" s="62">
        <v>78</v>
      </c>
    </row>
    <row r="81" spans="1:12" x14ac:dyDescent="0.25">
      <c r="A81" s="177">
        <f>IF(Yleistiedot!$B$4&gt;0,Yleistiedot!$B$4+L81, )</f>
        <v>42449</v>
      </c>
      <c r="B81" s="22">
        <f>ROUNDUP((A81-Yleistiedot!$B$4)/7,0)</f>
        <v>12</v>
      </c>
      <c r="C81" s="16"/>
      <c r="D81" s="16"/>
      <c r="E81" s="16"/>
      <c r="F81" s="16"/>
      <c r="G81" s="16"/>
      <c r="H81" s="16"/>
      <c r="I81" s="16"/>
      <c r="J81" s="17"/>
      <c r="K81" s="17"/>
      <c r="L81" s="62">
        <v>79</v>
      </c>
    </row>
    <row r="82" spans="1:12" x14ac:dyDescent="0.25">
      <c r="A82" s="177">
        <f>IF(Yleistiedot!$B$4&gt;0,Yleistiedot!$B$4+L82, )</f>
        <v>42450</v>
      </c>
      <c r="B82" s="22">
        <f>ROUNDUP((A82-Yleistiedot!$B$4)/7,0)</f>
        <v>12</v>
      </c>
      <c r="C82" s="16"/>
      <c r="D82" s="16"/>
      <c r="E82" s="16"/>
      <c r="F82" s="16"/>
      <c r="G82" s="16"/>
      <c r="H82" s="16"/>
      <c r="I82" s="16"/>
      <c r="J82" s="17"/>
      <c r="K82" s="17"/>
      <c r="L82" s="62">
        <v>80</v>
      </c>
    </row>
    <row r="83" spans="1:12" x14ac:dyDescent="0.25">
      <c r="A83" s="177">
        <f>IF(Yleistiedot!$B$4&gt;0,Yleistiedot!$B$4+L83, )</f>
        <v>42451</v>
      </c>
      <c r="B83" s="22">
        <f>ROUNDUP((A83-Yleistiedot!$B$4)/7,0)</f>
        <v>12</v>
      </c>
      <c r="C83" s="16"/>
      <c r="D83" s="16"/>
      <c r="E83" s="16"/>
      <c r="F83" s="16"/>
      <c r="G83" s="16"/>
      <c r="H83" s="16"/>
      <c r="I83" s="16"/>
      <c r="J83" s="17"/>
      <c r="K83" s="17"/>
      <c r="L83" s="62">
        <v>81</v>
      </c>
    </row>
    <row r="84" spans="1:12" x14ac:dyDescent="0.25">
      <c r="A84" s="177">
        <f>IF(Yleistiedot!$B$4&gt;0,Yleistiedot!$B$4+L84, )</f>
        <v>42452</v>
      </c>
      <c r="B84" s="22">
        <f>ROUNDUP((A84-Yleistiedot!$B$4)/7,0)</f>
        <v>12</v>
      </c>
      <c r="C84" s="16"/>
      <c r="D84" s="16"/>
      <c r="E84" s="16"/>
      <c r="F84" s="16"/>
      <c r="G84" s="16"/>
      <c r="H84" s="16"/>
      <c r="I84" s="16"/>
      <c r="J84" s="17"/>
      <c r="K84" s="17"/>
      <c r="L84" s="62">
        <v>82</v>
      </c>
    </row>
    <row r="85" spans="1:12" x14ac:dyDescent="0.25">
      <c r="A85" s="177">
        <f>IF(Yleistiedot!$B$4&gt;0,Yleistiedot!$B$4+L85, )</f>
        <v>42453</v>
      </c>
      <c r="B85" s="22">
        <f>ROUNDUP((A85-Yleistiedot!$B$4)/7,0)</f>
        <v>12</v>
      </c>
      <c r="C85" s="16"/>
      <c r="D85" s="16"/>
      <c r="E85" s="16"/>
      <c r="F85" s="16"/>
      <c r="G85" s="16"/>
      <c r="H85" s="16"/>
      <c r="I85" s="16"/>
      <c r="J85" s="17"/>
      <c r="K85" s="17"/>
      <c r="L85" s="62">
        <v>83</v>
      </c>
    </row>
    <row r="86" spans="1:12" x14ac:dyDescent="0.25">
      <c r="A86" s="177">
        <f>IF(Yleistiedot!$B$4&gt;0,Yleistiedot!$B$4+L86, )</f>
        <v>42454</v>
      </c>
      <c r="B86" s="22">
        <f>ROUNDUP((A86-Yleistiedot!$B$4)/7,0)</f>
        <v>12</v>
      </c>
      <c r="C86" s="16"/>
      <c r="D86" s="16"/>
      <c r="E86" s="16"/>
      <c r="F86" s="16"/>
      <c r="G86" s="16"/>
      <c r="H86" s="16"/>
      <c r="I86" s="16"/>
      <c r="J86" s="17"/>
      <c r="K86" s="17"/>
      <c r="L86" s="62">
        <v>84</v>
      </c>
    </row>
    <row r="87" spans="1:12" x14ac:dyDescent="0.25">
      <c r="A87" s="177">
        <f>IF(Yleistiedot!$B$4&gt;0,Yleistiedot!$B$4+L87, )</f>
        <v>42455</v>
      </c>
      <c r="B87" s="22">
        <f>ROUNDUP((A87-Yleistiedot!$B$4)/7,0)</f>
        <v>13</v>
      </c>
      <c r="C87" s="16"/>
      <c r="D87" s="16"/>
      <c r="E87" s="16"/>
      <c r="F87" s="16"/>
      <c r="G87" s="16"/>
      <c r="H87" s="16"/>
      <c r="I87" s="16"/>
      <c r="J87" s="17"/>
      <c r="K87" s="17"/>
      <c r="L87" s="62">
        <v>85</v>
      </c>
    </row>
    <row r="88" spans="1:12" x14ac:dyDescent="0.25">
      <c r="A88" s="177">
        <f>IF(Yleistiedot!$B$4&gt;0,Yleistiedot!$B$4+L88, )</f>
        <v>42456</v>
      </c>
      <c r="B88" s="22">
        <f>ROUNDUP((A88-Yleistiedot!$B$4)/7,0)</f>
        <v>13</v>
      </c>
      <c r="C88" s="16"/>
      <c r="D88" s="16"/>
      <c r="E88" s="16"/>
      <c r="F88" s="16"/>
      <c r="G88" s="16"/>
      <c r="H88" s="16"/>
      <c r="I88" s="16"/>
      <c r="J88" s="17"/>
      <c r="K88" s="17"/>
      <c r="L88" s="62">
        <v>86</v>
      </c>
    </row>
    <row r="89" spans="1:12" x14ac:dyDescent="0.25">
      <c r="A89" s="177">
        <f>IF(Yleistiedot!$B$4&gt;0,Yleistiedot!$B$4+L89, )</f>
        <v>42457</v>
      </c>
      <c r="B89" s="22">
        <f>ROUNDUP((A89-Yleistiedot!$B$4)/7,0)</f>
        <v>13</v>
      </c>
      <c r="C89" s="16"/>
      <c r="D89" s="16"/>
      <c r="E89" s="16"/>
      <c r="F89" s="16"/>
      <c r="G89" s="16"/>
      <c r="H89" s="16"/>
      <c r="I89" s="16"/>
      <c r="J89" s="17"/>
      <c r="K89" s="17"/>
      <c r="L89" s="62">
        <v>87</v>
      </c>
    </row>
    <row r="90" spans="1:12" x14ac:dyDescent="0.25">
      <c r="A90" s="177">
        <f>IF(Yleistiedot!$B$4&gt;0,Yleistiedot!$B$4+L90, )</f>
        <v>42458</v>
      </c>
      <c r="B90" s="22">
        <f>ROUNDUP((A90-Yleistiedot!$B$4)/7,0)</f>
        <v>13</v>
      </c>
      <c r="C90" s="16"/>
      <c r="D90" s="16"/>
      <c r="E90" s="16"/>
      <c r="F90" s="16"/>
      <c r="G90" s="16"/>
      <c r="H90" s="16"/>
      <c r="I90" s="16"/>
      <c r="J90" s="17"/>
      <c r="K90" s="17"/>
      <c r="L90" s="62">
        <v>88</v>
      </c>
    </row>
    <row r="91" spans="1:12" x14ac:dyDescent="0.25">
      <c r="A91" s="177">
        <f>IF(Yleistiedot!$B$4&gt;0,Yleistiedot!$B$4+L91, )</f>
        <v>42459</v>
      </c>
      <c r="B91" s="22">
        <f>ROUNDUP((A91-Yleistiedot!$B$4)/7,0)</f>
        <v>13</v>
      </c>
      <c r="C91" s="16"/>
      <c r="D91" s="16"/>
      <c r="E91" s="16"/>
      <c r="F91" s="16"/>
      <c r="G91" s="16"/>
      <c r="H91" s="16"/>
      <c r="I91" s="16"/>
      <c r="J91" s="17"/>
      <c r="K91" s="17"/>
      <c r="L91" s="62">
        <v>89</v>
      </c>
    </row>
    <row r="92" spans="1:12" x14ac:dyDescent="0.25">
      <c r="A92" s="177">
        <f>IF(Yleistiedot!$B$4&gt;0,Yleistiedot!$B$4+L92, )</f>
        <v>42460</v>
      </c>
      <c r="B92" s="22">
        <f>ROUNDUP((A92-Yleistiedot!$B$4)/7,0)</f>
        <v>13</v>
      </c>
      <c r="C92" s="16"/>
      <c r="D92" s="16"/>
      <c r="E92" s="16"/>
      <c r="F92" s="16"/>
      <c r="G92" s="16"/>
      <c r="H92" s="16"/>
      <c r="I92" s="16"/>
      <c r="J92" s="17"/>
      <c r="K92" s="17"/>
      <c r="L92" s="62">
        <v>90</v>
      </c>
    </row>
    <row r="93" spans="1:12" x14ac:dyDescent="0.25">
      <c r="A93" s="177">
        <f>IF(Yleistiedot!$B$4&gt;0,Yleistiedot!$B$4+L93, )</f>
        <v>42461</v>
      </c>
      <c r="B93" s="22">
        <f>ROUNDUP((A93-Yleistiedot!$B$4)/7,0)</f>
        <v>13</v>
      </c>
      <c r="C93" s="16"/>
      <c r="D93" s="16"/>
      <c r="E93" s="16"/>
      <c r="F93" s="16"/>
      <c r="G93" s="16"/>
      <c r="H93" s="16"/>
      <c r="I93" s="16"/>
      <c r="J93" s="17"/>
      <c r="K93" s="17"/>
      <c r="L93" s="62">
        <v>91</v>
      </c>
    </row>
    <row r="94" spans="1:12" x14ac:dyDescent="0.25">
      <c r="A94" s="177">
        <f>IF(Yleistiedot!$B$4&gt;0,Yleistiedot!$B$4+L94, )</f>
        <v>42462</v>
      </c>
      <c r="B94" s="22">
        <f>ROUNDUP((A94-Yleistiedot!$B$4)/7,0)</f>
        <v>14</v>
      </c>
      <c r="C94" s="16"/>
      <c r="D94" s="16"/>
      <c r="E94" s="16"/>
      <c r="F94" s="16"/>
      <c r="G94" s="16"/>
      <c r="H94" s="16"/>
      <c r="I94" s="16"/>
      <c r="J94" s="17"/>
      <c r="K94" s="17"/>
      <c r="L94" s="62">
        <v>92</v>
      </c>
    </row>
    <row r="95" spans="1:12" x14ac:dyDescent="0.25">
      <c r="A95" s="177">
        <f>IF(Yleistiedot!$B$4&gt;0,Yleistiedot!$B$4+L95, )</f>
        <v>42463</v>
      </c>
      <c r="B95" s="22">
        <f>ROUNDUP((A95-Yleistiedot!$B$4)/7,0)</f>
        <v>14</v>
      </c>
      <c r="C95" s="16"/>
      <c r="D95" s="16"/>
      <c r="E95" s="16"/>
      <c r="F95" s="16"/>
      <c r="G95" s="16"/>
      <c r="H95" s="16"/>
      <c r="I95" s="16"/>
      <c r="J95" s="17"/>
      <c r="K95" s="17"/>
      <c r="L95" s="62">
        <v>93</v>
      </c>
    </row>
    <row r="96" spans="1:12" x14ac:dyDescent="0.25">
      <c r="A96" s="177">
        <f>IF(Yleistiedot!$B$4&gt;0,Yleistiedot!$B$4+L96, )</f>
        <v>42464</v>
      </c>
      <c r="B96" s="22">
        <f>ROUNDUP((A96-Yleistiedot!$B$4)/7,0)</f>
        <v>14</v>
      </c>
      <c r="C96" s="16"/>
      <c r="D96" s="16"/>
      <c r="E96" s="16"/>
      <c r="F96" s="16"/>
      <c r="G96" s="16"/>
      <c r="H96" s="16"/>
      <c r="I96" s="16"/>
      <c r="J96" s="17"/>
      <c r="K96" s="17"/>
      <c r="L96" s="62">
        <v>94</v>
      </c>
    </row>
    <row r="97" spans="1:12" x14ac:dyDescent="0.25">
      <c r="A97" s="177">
        <f>IF(Yleistiedot!$B$4&gt;0,Yleistiedot!$B$4+L97, )</f>
        <v>42465</v>
      </c>
      <c r="B97" s="22">
        <f>ROUNDUP((A97-Yleistiedot!$B$4)/7,0)</f>
        <v>14</v>
      </c>
      <c r="C97" s="16"/>
      <c r="D97" s="16"/>
      <c r="E97" s="16"/>
      <c r="F97" s="16"/>
      <c r="G97" s="16"/>
      <c r="H97" s="16"/>
      <c r="I97" s="16"/>
      <c r="J97" s="17"/>
      <c r="K97" s="17"/>
      <c r="L97" s="62">
        <v>95</v>
      </c>
    </row>
    <row r="98" spans="1:12" x14ac:dyDescent="0.25">
      <c r="A98" s="177">
        <f>IF(Yleistiedot!$B$4&gt;0,Yleistiedot!$B$4+L98, )</f>
        <v>42466</v>
      </c>
      <c r="B98" s="22">
        <f>ROUNDUP((A98-Yleistiedot!$B$4)/7,0)</f>
        <v>14</v>
      </c>
      <c r="C98" s="16"/>
      <c r="D98" s="16"/>
      <c r="E98" s="16"/>
      <c r="F98" s="16"/>
      <c r="G98" s="16"/>
      <c r="H98" s="16"/>
      <c r="I98" s="16"/>
      <c r="J98" s="17"/>
      <c r="K98" s="17"/>
      <c r="L98" s="62">
        <v>96</v>
      </c>
    </row>
    <row r="99" spans="1:12" x14ac:dyDescent="0.25">
      <c r="A99" s="177">
        <f>IF(Yleistiedot!$B$4&gt;0,Yleistiedot!$B$4+L99, )</f>
        <v>42467</v>
      </c>
      <c r="B99" s="22">
        <f>ROUNDUP((A99-Yleistiedot!$B$4)/7,0)</f>
        <v>14</v>
      </c>
      <c r="C99" s="16"/>
      <c r="D99" s="16"/>
      <c r="E99" s="16"/>
      <c r="F99" s="16"/>
      <c r="G99" s="16"/>
      <c r="H99" s="16"/>
      <c r="I99" s="16"/>
      <c r="J99" s="17"/>
      <c r="K99" s="17"/>
      <c r="L99" s="62">
        <v>97</v>
      </c>
    </row>
    <row r="100" spans="1:12" x14ac:dyDescent="0.25">
      <c r="A100" s="177">
        <f>IF(Yleistiedot!$B$4&gt;0,Yleistiedot!$B$4+L100, )</f>
        <v>42468</v>
      </c>
      <c r="B100" s="22">
        <f>ROUNDUP((A100-Yleistiedot!$B$4)/7,0)</f>
        <v>14</v>
      </c>
      <c r="C100" s="16"/>
      <c r="D100" s="16"/>
      <c r="E100" s="16"/>
      <c r="F100" s="16"/>
      <c r="G100" s="16"/>
      <c r="H100" s="16"/>
      <c r="I100" s="16"/>
      <c r="J100" s="17"/>
      <c r="K100" s="17"/>
      <c r="L100" s="62">
        <v>98</v>
      </c>
    </row>
    <row r="101" spans="1:12" x14ac:dyDescent="0.25">
      <c r="A101" s="177">
        <f>IF(Yleistiedot!$B$4&gt;0,Yleistiedot!$B$4+L101, )</f>
        <v>42469</v>
      </c>
      <c r="B101" s="22">
        <f>ROUNDUP((A101-Yleistiedot!$B$4)/7,0)</f>
        <v>15</v>
      </c>
      <c r="C101" s="16"/>
      <c r="D101" s="16"/>
      <c r="E101" s="16"/>
      <c r="F101" s="16"/>
      <c r="G101" s="16"/>
      <c r="H101" s="16"/>
      <c r="I101" s="16"/>
      <c r="J101" s="17"/>
      <c r="K101" s="17"/>
      <c r="L101" s="62">
        <v>99</v>
      </c>
    </row>
    <row r="102" spans="1:12" x14ac:dyDescent="0.25">
      <c r="A102" s="177">
        <f>IF(Yleistiedot!$B$4&gt;0,Yleistiedot!$B$4+L102, )</f>
        <v>42470</v>
      </c>
      <c r="B102" s="22">
        <f>ROUNDUP((A102-Yleistiedot!$B$4)/7,0)</f>
        <v>15</v>
      </c>
      <c r="C102" s="16"/>
      <c r="D102" s="16"/>
      <c r="E102" s="16"/>
      <c r="F102" s="16"/>
      <c r="G102" s="16"/>
      <c r="H102" s="16"/>
      <c r="I102" s="16"/>
      <c r="J102" s="17"/>
      <c r="K102" s="17"/>
      <c r="L102" s="62">
        <v>100</v>
      </c>
    </row>
    <row r="103" spans="1:12" x14ac:dyDescent="0.25">
      <c r="A103" s="177">
        <f>IF(Yleistiedot!$B$4&gt;0,Yleistiedot!$B$4+L103, )</f>
        <v>42471</v>
      </c>
      <c r="B103" s="22">
        <f>ROUNDUP((A103-Yleistiedot!$B$4)/7,0)</f>
        <v>15</v>
      </c>
      <c r="C103" s="16"/>
      <c r="D103" s="16"/>
      <c r="E103" s="16"/>
      <c r="F103" s="16"/>
      <c r="G103" s="16"/>
      <c r="H103" s="16"/>
      <c r="I103" s="16"/>
      <c r="J103" s="17"/>
      <c r="K103" s="17"/>
      <c r="L103" s="62">
        <v>101</v>
      </c>
    </row>
    <row r="104" spans="1:12" x14ac:dyDescent="0.25">
      <c r="A104" s="177">
        <f>IF(Yleistiedot!$B$4&gt;0,Yleistiedot!$B$4+L104, )</f>
        <v>42472</v>
      </c>
      <c r="B104" s="22">
        <f>ROUNDUP((A104-Yleistiedot!$B$4)/7,0)</f>
        <v>15</v>
      </c>
      <c r="C104" s="16"/>
      <c r="D104" s="16"/>
      <c r="E104" s="16"/>
      <c r="F104" s="16"/>
      <c r="G104" s="16"/>
      <c r="H104" s="16"/>
      <c r="I104" s="16"/>
      <c r="J104" s="17"/>
      <c r="K104" s="17"/>
      <c r="L104" s="62">
        <v>102</v>
      </c>
    </row>
    <row r="105" spans="1:12" x14ac:dyDescent="0.25">
      <c r="A105" s="177">
        <f>IF(Yleistiedot!$B$4&gt;0,Yleistiedot!$B$4+L105, )</f>
        <v>42473</v>
      </c>
      <c r="B105" s="22">
        <f>ROUNDUP((A105-Yleistiedot!$B$4)/7,0)</f>
        <v>15</v>
      </c>
      <c r="C105" s="16"/>
      <c r="D105" s="16"/>
      <c r="E105" s="16"/>
      <c r="F105" s="16"/>
      <c r="G105" s="16"/>
      <c r="H105" s="16"/>
      <c r="I105" s="16"/>
      <c r="J105" s="17"/>
      <c r="K105" s="17"/>
      <c r="L105" s="62">
        <v>103</v>
      </c>
    </row>
    <row r="106" spans="1:12" x14ac:dyDescent="0.25">
      <c r="A106" s="177">
        <f>IF(Yleistiedot!$B$4&gt;0,Yleistiedot!$B$4+L106, )</f>
        <v>42474</v>
      </c>
      <c r="B106" s="22">
        <f>ROUNDUP((A106-Yleistiedot!$B$4)/7,0)</f>
        <v>15</v>
      </c>
      <c r="C106" s="16"/>
      <c r="D106" s="16"/>
      <c r="E106" s="16"/>
      <c r="F106" s="16"/>
      <c r="G106" s="16"/>
      <c r="H106" s="16"/>
      <c r="I106" s="16"/>
      <c r="J106" s="17"/>
      <c r="K106" s="17"/>
      <c r="L106" s="62">
        <v>104</v>
      </c>
    </row>
    <row r="107" spans="1:12" x14ac:dyDescent="0.25">
      <c r="A107" s="177">
        <f>IF(Yleistiedot!$B$4&gt;0,Yleistiedot!$B$4+L107, )</f>
        <v>42475</v>
      </c>
      <c r="B107" s="22">
        <f>ROUNDUP((A107-Yleistiedot!$B$4)/7,0)</f>
        <v>15</v>
      </c>
      <c r="C107" s="16"/>
      <c r="D107" s="16"/>
      <c r="E107" s="16"/>
      <c r="F107" s="16"/>
      <c r="G107" s="16"/>
      <c r="H107" s="16"/>
      <c r="I107" s="16"/>
      <c r="J107" s="17"/>
      <c r="K107" s="17"/>
      <c r="L107" s="62">
        <v>105</v>
      </c>
    </row>
    <row r="108" spans="1:12" x14ac:dyDescent="0.25">
      <c r="A108" s="177">
        <f>IF(Yleistiedot!$B$4&gt;0,Yleistiedot!$B$4+L108, )</f>
        <v>42476</v>
      </c>
      <c r="B108" s="22">
        <f>ROUNDUP((A108-Yleistiedot!$B$4)/7,0)</f>
        <v>16</v>
      </c>
      <c r="C108" s="16"/>
      <c r="D108" s="16"/>
      <c r="E108" s="16"/>
      <c r="F108" s="16"/>
      <c r="G108" s="16"/>
      <c r="H108" s="16"/>
      <c r="I108" s="16"/>
      <c r="J108" s="17"/>
      <c r="K108" s="17"/>
      <c r="L108" s="62">
        <v>106</v>
      </c>
    </row>
    <row r="109" spans="1:12" x14ac:dyDescent="0.25">
      <c r="A109" s="177">
        <f>IF(Yleistiedot!$B$4&gt;0,Yleistiedot!$B$4+L109, )</f>
        <v>42477</v>
      </c>
      <c r="B109" s="22">
        <f>ROUNDUP((A109-Yleistiedot!$B$4)/7,0)</f>
        <v>16</v>
      </c>
      <c r="C109" s="16"/>
      <c r="D109" s="16"/>
      <c r="E109" s="16"/>
      <c r="F109" s="16"/>
      <c r="G109" s="16"/>
      <c r="H109" s="16"/>
      <c r="I109" s="16"/>
      <c r="J109" s="17"/>
      <c r="K109" s="17"/>
      <c r="L109" s="62">
        <v>107</v>
      </c>
    </row>
    <row r="110" spans="1:12" x14ac:dyDescent="0.25">
      <c r="A110" s="177">
        <f>IF(Yleistiedot!$B$4&gt;0,Yleistiedot!$B$4+L110, )</f>
        <v>42478</v>
      </c>
      <c r="B110" s="22">
        <f>ROUNDUP((A110-Yleistiedot!$B$4)/7,0)</f>
        <v>16</v>
      </c>
      <c r="C110" s="16"/>
      <c r="D110" s="16"/>
      <c r="E110" s="16"/>
      <c r="F110" s="16"/>
      <c r="G110" s="16"/>
      <c r="H110" s="16"/>
      <c r="I110" s="16"/>
      <c r="J110" s="17"/>
      <c r="K110" s="17"/>
      <c r="L110" s="62">
        <v>108</v>
      </c>
    </row>
    <row r="111" spans="1:12" x14ac:dyDescent="0.25">
      <c r="A111" s="177">
        <f>IF(Yleistiedot!$B$4&gt;0,Yleistiedot!$B$4+L111, )</f>
        <v>42479</v>
      </c>
      <c r="B111" s="22">
        <f>ROUNDUP((A111-Yleistiedot!$B$4)/7,0)</f>
        <v>16</v>
      </c>
      <c r="C111" s="16"/>
      <c r="D111" s="16"/>
      <c r="E111" s="16"/>
      <c r="F111" s="16"/>
      <c r="G111" s="16"/>
      <c r="H111" s="16"/>
      <c r="I111" s="16"/>
      <c r="J111" s="17"/>
      <c r="K111" s="17"/>
      <c r="L111" s="62">
        <v>109</v>
      </c>
    </row>
    <row r="112" spans="1:12" x14ac:dyDescent="0.25">
      <c r="A112" s="177">
        <f>IF(Yleistiedot!$B$4&gt;0,Yleistiedot!$B$4+L112, )</f>
        <v>42480</v>
      </c>
      <c r="B112" s="22">
        <f>ROUNDUP((A112-Yleistiedot!$B$4)/7,0)</f>
        <v>16</v>
      </c>
      <c r="C112" s="16"/>
      <c r="D112" s="16"/>
      <c r="E112" s="16"/>
      <c r="F112" s="16"/>
      <c r="G112" s="16"/>
      <c r="H112" s="16"/>
      <c r="I112" s="16"/>
      <c r="J112" s="17"/>
      <c r="K112" s="17"/>
      <c r="L112" s="62">
        <v>110</v>
      </c>
    </row>
    <row r="113" spans="1:12" x14ac:dyDescent="0.25">
      <c r="A113" s="177">
        <f>IF(Yleistiedot!$B$4&gt;0,Yleistiedot!$B$4+L113, )</f>
        <v>42481</v>
      </c>
      <c r="B113" s="22">
        <f>ROUNDUP((A113-Yleistiedot!$B$4)/7,0)</f>
        <v>16</v>
      </c>
      <c r="C113" s="16"/>
      <c r="D113" s="16"/>
      <c r="E113" s="16"/>
      <c r="F113" s="16"/>
      <c r="G113" s="16"/>
      <c r="H113" s="16"/>
      <c r="I113" s="16"/>
      <c r="J113" s="17"/>
      <c r="K113" s="17"/>
      <c r="L113" s="62">
        <v>111</v>
      </c>
    </row>
    <row r="114" spans="1:12" x14ac:dyDescent="0.25">
      <c r="A114" s="177">
        <f>IF(Yleistiedot!$B$4&gt;0,Yleistiedot!$B$4+L114, )</f>
        <v>42482</v>
      </c>
      <c r="B114" s="22">
        <f>ROUNDUP((A114-Yleistiedot!$B$4)/7,0)</f>
        <v>16</v>
      </c>
      <c r="C114" s="16"/>
      <c r="D114" s="16"/>
      <c r="E114" s="16"/>
      <c r="F114" s="16"/>
      <c r="G114" s="16"/>
      <c r="H114" s="16"/>
      <c r="I114" s="16"/>
      <c r="J114" s="17"/>
      <c r="K114" s="17"/>
      <c r="L114" s="62">
        <v>112</v>
      </c>
    </row>
    <row r="115" spans="1:12" x14ac:dyDescent="0.25">
      <c r="A115" s="177">
        <f>IF(Yleistiedot!$B$4&gt;0,Yleistiedot!$B$4+L115, )</f>
        <v>42483</v>
      </c>
      <c r="B115" s="22">
        <f>ROUNDUP((A115-Yleistiedot!$B$4)/7,0)</f>
        <v>17</v>
      </c>
      <c r="C115" s="16"/>
      <c r="D115" s="16"/>
      <c r="E115" s="16"/>
      <c r="F115" s="16"/>
      <c r="G115" s="16"/>
      <c r="H115" s="16"/>
      <c r="I115" s="16"/>
      <c r="J115" s="17"/>
      <c r="K115" s="17"/>
      <c r="L115" s="62">
        <v>113</v>
      </c>
    </row>
    <row r="116" spans="1:12" x14ac:dyDescent="0.25">
      <c r="A116" s="177">
        <f>IF(Yleistiedot!$B$4&gt;0,Yleistiedot!$B$4+L116, )</f>
        <v>42484</v>
      </c>
      <c r="B116" s="22">
        <f>ROUNDUP((A116-Yleistiedot!$B$4)/7,0)</f>
        <v>17</v>
      </c>
      <c r="C116" s="16"/>
      <c r="D116" s="16"/>
      <c r="E116" s="16"/>
      <c r="F116" s="16"/>
      <c r="G116" s="16"/>
      <c r="H116" s="16"/>
      <c r="I116" s="16"/>
      <c r="J116" s="17"/>
      <c r="K116" s="17"/>
      <c r="L116" s="62">
        <v>114</v>
      </c>
    </row>
    <row r="117" spans="1:12" x14ac:dyDescent="0.25">
      <c r="A117" s="177">
        <f>IF(Yleistiedot!$B$4&gt;0,Yleistiedot!$B$4+L117, )</f>
        <v>42485</v>
      </c>
      <c r="B117" s="22">
        <f>ROUNDUP((A117-Yleistiedot!$B$4)/7,0)</f>
        <v>17</v>
      </c>
      <c r="C117" s="16"/>
      <c r="D117" s="16"/>
      <c r="E117" s="16"/>
      <c r="F117" s="16"/>
      <c r="G117" s="16"/>
      <c r="H117" s="16"/>
      <c r="I117" s="16"/>
      <c r="J117" s="17"/>
      <c r="K117" s="17"/>
      <c r="L117" s="62">
        <v>115</v>
      </c>
    </row>
    <row r="118" spans="1:12" x14ac:dyDescent="0.25">
      <c r="A118" s="177">
        <f>IF(Yleistiedot!$B$4&gt;0,Yleistiedot!$B$4+L118, )</f>
        <v>42486</v>
      </c>
      <c r="B118" s="22">
        <f>ROUNDUP((A118-Yleistiedot!$B$4)/7,0)</f>
        <v>17</v>
      </c>
      <c r="C118" s="16"/>
      <c r="D118" s="16"/>
      <c r="E118" s="16"/>
      <c r="F118" s="16"/>
      <c r="G118" s="16"/>
      <c r="H118" s="16"/>
      <c r="I118" s="16"/>
      <c r="J118" s="17"/>
      <c r="K118" s="17"/>
      <c r="L118" s="62">
        <v>116</v>
      </c>
    </row>
    <row r="119" spans="1:12" x14ac:dyDescent="0.25">
      <c r="A119" s="177">
        <f>IF(Yleistiedot!$B$4&gt;0,Yleistiedot!$B$4+L119, )</f>
        <v>42487</v>
      </c>
      <c r="B119" s="22">
        <f>ROUNDUP((A119-Yleistiedot!$B$4)/7,0)</f>
        <v>17</v>
      </c>
      <c r="C119" s="16"/>
      <c r="D119" s="16"/>
      <c r="E119" s="16"/>
      <c r="F119" s="16"/>
      <c r="G119" s="16"/>
      <c r="H119" s="16"/>
      <c r="I119" s="16"/>
      <c r="J119" s="17"/>
      <c r="K119" s="17"/>
      <c r="L119" s="62">
        <v>117</v>
      </c>
    </row>
    <row r="120" spans="1:12" x14ac:dyDescent="0.25">
      <c r="A120" s="177">
        <f>IF(Yleistiedot!$B$4&gt;0,Yleistiedot!$B$4+L120, )</f>
        <v>42488</v>
      </c>
      <c r="B120" s="22">
        <f>ROUNDUP((A120-Yleistiedot!$B$4)/7,0)</f>
        <v>17</v>
      </c>
      <c r="C120" s="16"/>
      <c r="D120" s="16"/>
      <c r="E120" s="16"/>
      <c r="F120" s="16"/>
      <c r="G120" s="16"/>
      <c r="H120" s="16"/>
      <c r="I120" s="16"/>
      <c r="J120" s="17"/>
      <c r="K120" s="17"/>
      <c r="L120" s="62">
        <v>118</v>
      </c>
    </row>
    <row r="121" spans="1:12" x14ac:dyDescent="0.25">
      <c r="A121" s="177">
        <f>IF(Yleistiedot!$B$4&gt;0,Yleistiedot!$B$4+L121, )</f>
        <v>42489</v>
      </c>
      <c r="B121" s="22">
        <f>ROUNDUP((A121-Yleistiedot!$B$4)/7,0)</f>
        <v>17</v>
      </c>
      <c r="C121" s="16"/>
      <c r="D121" s="16"/>
      <c r="E121" s="16"/>
      <c r="F121" s="16"/>
      <c r="G121" s="16"/>
      <c r="H121" s="16"/>
      <c r="I121" s="16"/>
      <c r="J121" s="17"/>
      <c r="K121" s="17"/>
      <c r="L121" s="62">
        <v>119</v>
      </c>
    </row>
    <row r="122" spans="1:12" x14ac:dyDescent="0.25">
      <c r="A122" s="177">
        <f>IF(Yleistiedot!$B$4&gt;0,Yleistiedot!$B$4+L122, )</f>
        <v>42490</v>
      </c>
      <c r="B122" s="22">
        <f>ROUNDUP((A122-Yleistiedot!$B$4)/7,0)</f>
        <v>18</v>
      </c>
      <c r="C122" s="16"/>
      <c r="D122" s="16"/>
      <c r="E122" s="16"/>
      <c r="F122" s="16"/>
      <c r="G122" s="16"/>
      <c r="H122" s="16"/>
      <c r="I122" s="16"/>
      <c r="J122" s="17"/>
      <c r="K122" s="17"/>
      <c r="L122" s="62">
        <v>120</v>
      </c>
    </row>
    <row r="123" spans="1:12" x14ac:dyDescent="0.25">
      <c r="A123" s="177">
        <f>IF(Yleistiedot!$B$4&gt;0,Yleistiedot!$B$4+L123, )</f>
        <v>42491</v>
      </c>
      <c r="B123" s="22">
        <f>ROUNDUP((A123-Yleistiedot!$B$4)/7,0)</f>
        <v>18</v>
      </c>
      <c r="C123" s="16"/>
      <c r="D123" s="16"/>
      <c r="E123" s="16"/>
      <c r="F123" s="16"/>
      <c r="G123" s="16"/>
      <c r="H123" s="16"/>
      <c r="I123" s="16"/>
      <c r="J123" s="17"/>
      <c r="K123" s="17"/>
      <c r="L123" s="62">
        <v>121</v>
      </c>
    </row>
    <row r="124" spans="1:12" x14ac:dyDescent="0.25">
      <c r="A124" s="177">
        <f>IF(Yleistiedot!$B$4&gt;0,Yleistiedot!$B$4+L124, )</f>
        <v>42492</v>
      </c>
      <c r="B124" s="22">
        <f>ROUNDUP((A124-Yleistiedot!$B$4)/7,0)</f>
        <v>18</v>
      </c>
      <c r="C124" s="16"/>
      <c r="D124" s="16"/>
      <c r="E124" s="16"/>
      <c r="F124" s="16"/>
      <c r="G124" s="16"/>
      <c r="H124" s="16"/>
      <c r="I124" s="16"/>
      <c r="J124" s="17"/>
      <c r="K124" s="17"/>
      <c r="L124" s="62">
        <v>122</v>
      </c>
    </row>
    <row r="125" spans="1:12" x14ac:dyDescent="0.25">
      <c r="A125" s="177">
        <f>IF(Yleistiedot!$B$4&gt;0,Yleistiedot!$B$4+L125, )</f>
        <v>42493</v>
      </c>
      <c r="B125" s="22">
        <f>ROUNDUP((A125-Yleistiedot!$B$4)/7,0)</f>
        <v>18</v>
      </c>
      <c r="C125" s="16"/>
      <c r="D125" s="16"/>
      <c r="E125" s="16"/>
      <c r="F125" s="16"/>
      <c r="G125" s="16"/>
      <c r="H125" s="16"/>
      <c r="I125" s="16"/>
      <c r="J125" s="17"/>
      <c r="K125" s="17"/>
      <c r="L125" s="62">
        <v>123</v>
      </c>
    </row>
    <row r="126" spans="1:12" x14ac:dyDescent="0.25">
      <c r="A126" s="177">
        <f>IF(Yleistiedot!$B$4&gt;0,Yleistiedot!$B$4+L126, )</f>
        <v>42494</v>
      </c>
      <c r="B126" s="22">
        <f>ROUNDUP((A126-Yleistiedot!$B$4)/7,0)</f>
        <v>18</v>
      </c>
      <c r="C126" s="16"/>
      <c r="D126" s="16"/>
      <c r="E126" s="16"/>
      <c r="F126" s="16"/>
      <c r="G126" s="16"/>
      <c r="H126" s="16"/>
      <c r="I126" s="16"/>
      <c r="J126" s="17"/>
      <c r="K126" s="17"/>
      <c r="L126" s="62">
        <v>124</v>
      </c>
    </row>
    <row r="127" spans="1:12" x14ac:dyDescent="0.25">
      <c r="A127" s="177">
        <f>IF(Yleistiedot!$B$4&gt;0,Yleistiedot!$B$4+L127, )</f>
        <v>42495</v>
      </c>
      <c r="B127" s="22">
        <f>ROUNDUP((A127-Yleistiedot!$B$4)/7,0)</f>
        <v>18</v>
      </c>
      <c r="C127" s="16"/>
      <c r="D127" s="16"/>
      <c r="E127" s="16"/>
      <c r="F127" s="16"/>
      <c r="G127" s="16"/>
      <c r="H127" s="16"/>
      <c r="I127" s="16"/>
      <c r="J127" s="17"/>
      <c r="K127" s="17"/>
      <c r="L127" s="62">
        <v>125</v>
      </c>
    </row>
    <row r="128" spans="1:12" x14ac:dyDescent="0.25">
      <c r="A128" s="177">
        <f>IF(Yleistiedot!$B$4&gt;0,Yleistiedot!$B$4+L128, )</f>
        <v>42496</v>
      </c>
      <c r="B128" s="22">
        <f>ROUNDUP((A128-Yleistiedot!$B$4)/7,0)</f>
        <v>18</v>
      </c>
      <c r="C128" s="16"/>
      <c r="D128" s="16"/>
      <c r="E128" s="16"/>
      <c r="F128" s="16"/>
      <c r="G128" s="16"/>
      <c r="H128" s="16"/>
      <c r="I128" s="16"/>
      <c r="J128" s="17"/>
      <c r="K128" s="17"/>
      <c r="L128" s="62">
        <v>126</v>
      </c>
    </row>
    <row r="129" spans="1:12" x14ac:dyDescent="0.25">
      <c r="A129" s="177">
        <f>IF(Yleistiedot!$B$4&gt;0,Yleistiedot!$B$4+L129, )</f>
        <v>42497</v>
      </c>
      <c r="B129" s="22">
        <f>ROUNDUP((A129-Yleistiedot!$B$4)/7,0)</f>
        <v>19</v>
      </c>
      <c r="C129" s="16"/>
      <c r="D129" s="16"/>
      <c r="E129" s="16"/>
      <c r="F129" s="16"/>
      <c r="G129" s="16"/>
      <c r="H129" s="16"/>
      <c r="I129" s="16"/>
      <c r="J129" s="17"/>
      <c r="K129" s="17"/>
      <c r="L129" s="62">
        <v>127</v>
      </c>
    </row>
    <row r="130" spans="1:12" x14ac:dyDescent="0.25">
      <c r="A130" s="177">
        <f>IF(Yleistiedot!$B$4&gt;0,Yleistiedot!$B$4+L130, )</f>
        <v>42498</v>
      </c>
      <c r="B130" s="22">
        <f>ROUNDUP((A130-Yleistiedot!$B$4)/7,0)</f>
        <v>19</v>
      </c>
      <c r="C130" s="16"/>
      <c r="D130" s="16"/>
      <c r="E130" s="16"/>
      <c r="F130" s="16"/>
      <c r="G130" s="16"/>
      <c r="H130" s="16"/>
      <c r="I130" s="16"/>
      <c r="J130" s="17"/>
      <c r="K130" s="17"/>
      <c r="L130" s="62">
        <v>128</v>
      </c>
    </row>
    <row r="131" spans="1:12" x14ac:dyDescent="0.25">
      <c r="A131" s="177">
        <f>IF(Yleistiedot!$B$4&gt;0,Yleistiedot!$B$4+L131, )</f>
        <v>42499</v>
      </c>
      <c r="B131" s="22">
        <f>ROUNDUP((A131-Yleistiedot!$B$4)/7,0)</f>
        <v>19</v>
      </c>
      <c r="C131" s="16"/>
      <c r="D131" s="16"/>
      <c r="E131" s="16"/>
      <c r="F131" s="16"/>
      <c r="G131" s="16"/>
      <c r="H131" s="16"/>
      <c r="I131" s="16"/>
      <c r="J131" s="17"/>
      <c r="K131" s="17"/>
      <c r="L131" s="62">
        <v>129</v>
      </c>
    </row>
    <row r="132" spans="1:12" x14ac:dyDescent="0.25">
      <c r="A132" s="177">
        <f>IF(Yleistiedot!$B$4&gt;0,Yleistiedot!$B$4+L132, )</f>
        <v>42500</v>
      </c>
      <c r="B132" s="22">
        <f>ROUNDUP((A132-Yleistiedot!$B$4)/7,0)</f>
        <v>19</v>
      </c>
      <c r="C132" s="16"/>
      <c r="D132" s="16"/>
      <c r="E132" s="16"/>
      <c r="F132" s="16"/>
      <c r="G132" s="16"/>
      <c r="H132" s="16"/>
      <c r="I132" s="16"/>
      <c r="J132" s="17"/>
      <c r="K132" s="17"/>
      <c r="L132" s="62">
        <v>130</v>
      </c>
    </row>
    <row r="133" spans="1:12" x14ac:dyDescent="0.25">
      <c r="A133" s="177">
        <f>IF(Yleistiedot!$B$4&gt;0,Yleistiedot!$B$4+L133, )</f>
        <v>42501</v>
      </c>
      <c r="B133" s="22">
        <f>ROUNDUP((A133-Yleistiedot!$B$4)/7,0)</f>
        <v>19</v>
      </c>
      <c r="C133" s="16"/>
      <c r="D133" s="16"/>
      <c r="E133" s="16"/>
      <c r="F133" s="16"/>
      <c r="G133" s="16"/>
      <c r="H133" s="16"/>
      <c r="I133" s="16"/>
      <c r="J133" s="17"/>
      <c r="K133" s="17"/>
      <c r="L133" s="62">
        <v>131</v>
      </c>
    </row>
    <row r="134" spans="1:12" x14ac:dyDescent="0.25">
      <c r="A134" s="177">
        <f>IF(Yleistiedot!$B$4&gt;0,Yleistiedot!$B$4+L134, )</f>
        <v>42502</v>
      </c>
      <c r="B134" s="22">
        <f>ROUNDUP((A134-Yleistiedot!$B$4)/7,0)</f>
        <v>19</v>
      </c>
      <c r="C134" s="16"/>
      <c r="D134" s="16"/>
      <c r="E134" s="16"/>
      <c r="F134" s="16"/>
      <c r="G134" s="16"/>
      <c r="H134" s="16"/>
      <c r="I134" s="16"/>
      <c r="J134" s="17"/>
      <c r="K134" s="17"/>
      <c r="L134" s="62">
        <v>132</v>
      </c>
    </row>
    <row r="135" spans="1:12" x14ac:dyDescent="0.25">
      <c r="A135" s="177">
        <f>IF(Yleistiedot!$B$4&gt;0,Yleistiedot!$B$4+L135, )</f>
        <v>42503</v>
      </c>
      <c r="B135" s="22">
        <f>ROUNDUP((A135-Yleistiedot!$B$4)/7,0)</f>
        <v>19</v>
      </c>
      <c r="C135" s="16"/>
      <c r="D135" s="16"/>
      <c r="E135" s="16"/>
      <c r="F135" s="16"/>
      <c r="G135" s="16"/>
      <c r="H135" s="16"/>
      <c r="I135" s="16"/>
      <c r="J135" s="17"/>
      <c r="K135" s="17"/>
      <c r="L135" s="62">
        <v>133</v>
      </c>
    </row>
    <row r="136" spans="1:12" x14ac:dyDescent="0.25">
      <c r="A136" s="177">
        <f>IF(Yleistiedot!$B$4&gt;0,Yleistiedot!$B$4+L136, )</f>
        <v>42504</v>
      </c>
      <c r="B136" s="22">
        <f>ROUNDUP((A136-Yleistiedot!$B$4)/7,0)</f>
        <v>20</v>
      </c>
      <c r="C136" s="16"/>
      <c r="D136" s="16"/>
      <c r="E136" s="16"/>
      <c r="F136" s="16"/>
      <c r="G136" s="16"/>
      <c r="H136" s="16"/>
      <c r="I136" s="16"/>
      <c r="J136" s="17"/>
      <c r="K136" s="17"/>
      <c r="L136" s="62">
        <v>134</v>
      </c>
    </row>
    <row r="137" spans="1:12" x14ac:dyDescent="0.25">
      <c r="A137" s="177">
        <f>IF(Yleistiedot!$B$4&gt;0,Yleistiedot!$B$4+L137, )</f>
        <v>42505</v>
      </c>
      <c r="B137" s="22">
        <f>ROUNDUP((A137-Yleistiedot!$B$4)/7,0)</f>
        <v>20</v>
      </c>
      <c r="C137" s="16"/>
      <c r="D137" s="16"/>
      <c r="E137" s="16"/>
      <c r="F137" s="16"/>
      <c r="G137" s="16"/>
      <c r="H137" s="16"/>
      <c r="I137" s="16"/>
      <c r="J137" s="17"/>
      <c r="K137" s="17"/>
      <c r="L137" s="62">
        <v>135</v>
      </c>
    </row>
    <row r="138" spans="1:12" x14ac:dyDescent="0.25">
      <c r="A138" s="177">
        <f>IF(Yleistiedot!$B$4&gt;0,Yleistiedot!$B$4+L138, )</f>
        <v>42506</v>
      </c>
      <c r="B138" s="22">
        <f>ROUNDUP((A138-Yleistiedot!$B$4)/7,0)</f>
        <v>20</v>
      </c>
      <c r="C138" s="16"/>
      <c r="D138" s="16"/>
      <c r="E138" s="16"/>
      <c r="F138" s="16"/>
      <c r="G138" s="16"/>
      <c r="H138" s="16"/>
      <c r="I138" s="16"/>
      <c r="J138" s="17"/>
      <c r="K138" s="17"/>
      <c r="L138" s="62">
        <v>136</v>
      </c>
    </row>
    <row r="139" spans="1:12" x14ac:dyDescent="0.25">
      <c r="A139" s="177">
        <f>IF(Yleistiedot!$B$4&gt;0,Yleistiedot!$B$4+L139, )</f>
        <v>42507</v>
      </c>
      <c r="B139" s="22">
        <f>ROUNDUP((A139-Yleistiedot!$B$4)/7,0)</f>
        <v>20</v>
      </c>
      <c r="C139" s="16"/>
      <c r="D139" s="16"/>
      <c r="E139" s="16"/>
      <c r="F139" s="16"/>
      <c r="G139" s="16"/>
      <c r="H139" s="16"/>
      <c r="I139" s="16"/>
      <c r="J139" s="17"/>
      <c r="K139" s="17"/>
      <c r="L139" s="62">
        <v>137</v>
      </c>
    </row>
    <row r="140" spans="1:12" x14ac:dyDescent="0.25">
      <c r="A140" s="177">
        <f>IF(Yleistiedot!$B$4&gt;0,Yleistiedot!$B$4+L140, )</f>
        <v>42508</v>
      </c>
      <c r="B140" s="22">
        <f>ROUNDUP((A140-Yleistiedot!$B$4)/7,0)</f>
        <v>20</v>
      </c>
      <c r="C140" s="16"/>
      <c r="D140" s="16"/>
      <c r="E140" s="16"/>
      <c r="F140" s="16"/>
      <c r="G140" s="16"/>
      <c r="H140" s="16"/>
      <c r="I140" s="16"/>
      <c r="J140" s="17"/>
      <c r="K140" s="17"/>
      <c r="L140" s="62">
        <v>138</v>
      </c>
    </row>
    <row r="141" spans="1:12" x14ac:dyDescent="0.25">
      <c r="A141" s="177">
        <f>IF(Yleistiedot!$B$4&gt;0,Yleistiedot!$B$4+L141, )</f>
        <v>42509</v>
      </c>
      <c r="B141" s="22">
        <f>ROUNDUP((A141-Yleistiedot!$B$4)/7,0)</f>
        <v>20</v>
      </c>
      <c r="C141" s="16"/>
      <c r="D141" s="16"/>
      <c r="E141" s="16"/>
      <c r="F141" s="16"/>
      <c r="G141" s="16"/>
      <c r="H141" s="16"/>
      <c r="I141" s="16"/>
      <c r="J141" s="17"/>
      <c r="K141" s="17"/>
      <c r="L141" s="62">
        <v>139</v>
      </c>
    </row>
    <row r="142" spans="1:12" x14ac:dyDescent="0.25">
      <c r="A142" s="216">
        <f>IF(Yleistiedot!$B$4&gt;0,Yleistiedot!$B$4+L142, )</f>
        <v>42510</v>
      </c>
      <c r="B142" s="217">
        <f>ROUNDUP((A142-Yleistiedot!$B$4)/7,0)</f>
        <v>20</v>
      </c>
      <c r="C142" s="196"/>
      <c r="D142" s="196"/>
      <c r="E142" s="196"/>
      <c r="F142" s="196"/>
      <c r="G142" s="196"/>
      <c r="H142" s="196"/>
      <c r="I142" s="196"/>
      <c r="J142" s="218"/>
      <c r="K142" s="218"/>
      <c r="L142" s="62">
        <v>140</v>
      </c>
    </row>
  </sheetData>
  <sheetProtection algorithmName="SHA-512" hashValue="S3cZ6IrqlR8E2+3oG0iZB5y9zApyVNDbj600h4GQNPxCynC8ZtA7qbVQGC3m4PAWdSk9xnQJiT6Ko/2rKbGqVQ==" saltValue="gMQbHFiqDtaTKK/+TImnnA==" spinCount="100000" sheet="1" selectLockedCells="1"/>
  <mergeCells count="9">
    <mergeCell ref="J1:J2"/>
    <mergeCell ref="K1:K2"/>
    <mergeCell ref="A1:A2"/>
    <mergeCell ref="B1:B2"/>
    <mergeCell ref="C1:C2"/>
    <mergeCell ref="D1:D2"/>
    <mergeCell ref="I1:I2"/>
    <mergeCell ref="E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2">
    <tabColor theme="9"/>
  </sheetPr>
  <dimension ref="A1:AD40"/>
  <sheetViews>
    <sheetView workbookViewId="0">
      <selection activeCell="C7" sqref="C7:K7"/>
    </sheetView>
  </sheetViews>
  <sheetFormatPr defaultColWidth="11.5703125" defaultRowHeight="15" x14ac:dyDescent="0.25"/>
  <cols>
    <col min="1" max="1" width="10.7109375" style="2" customWidth="1"/>
    <col min="2" max="2" width="8" style="4" customWidth="1"/>
    <col min="3" max="3" width="8.7109375" style="1" customWidth="1"/>
    <col min="4" max="4" width="9.7109375" style="4" customWidth="1"/>
    <col min="5" max="5" width="10.7109375" style="3" customWidth="1"/>
    <col min="6" max="6" width="9.7109375" style="4" customWidth="1"/>
    <col min="7" max="8" width="11.7109375" style="4" customWidth="1"/>
    <col min="9" max="9" width="11.7109375" style="5" customWidth="1"/>
    <col min="10" max="11" width="8.7109375" style="1" customWidth="1"/>
    <col min="12" max="12" width="19.5703125" style="1" customWidth="1"/>
    <col min="13" max="28" width="11.5703125" style="55"/>
    <col min="31" max="16384" width="11.5703125" style="1"/>
  </cols>
  <sheetData>
    <row r="1" spans="1:28" ht="23.25" x14ac:dyDescent="0.35">
      <c r="B1" s="48" t="s">
        <v>0</v>
      </c>
      <c r="C1" s="48"/>
      <c r="D1" s="48" t="s">
        <v>1</v>
      </c>
      <c r="E1" s="49"/>
    </row>
    <row r="3" spans="1:28" ht="15.75" x14ac:dyDescent="0.25">
      <c r="A3" s="6" t="str">
        <f>Yleistiedot!A6</f>
        <v>Kasvattaja</v>
      </c>
      <c r="B3" s="1"/>
      <c r="C3" s="277">
        <f>Yleistiedot!B6</f>
        <v>0</v>
      </c>
      <c r="D3" s="278"/>
      <c r="E3" s="279"/>
      <c r="G3" s="7" t="str">
        <f>Yleistiedot!A4</f>
        <v>Kuoriutumispäivä</v>
      </c>
      <c r="H3" s="8"/>
      <c r="I3" s="1"/>
      <c r="J3" s="275">
        <f>Yleistiedot!B4</f>
        <v>42370</v>
      </c>
      <c r="K3" s="276"/>
      <c r="L3" s="138"/>
    </row>
    <row r="4" spans="1:28" ht="15.75" x14ac:dyDescent="0.25">
      <c r="A4" s="6" t="str">
        <f>Yleistiedot!A7</f>
        <v>Tila/kasvattamo</v>
      </c>
      <c r="B4" s="1"/>
      <c r="C4" s="277">
        <f>Yleistiedot!B7</f>
        <v>0</v>
      </c>
      <c r="D4" s="278"/>
      <c r="E4" s="279"/>
      <c r="G4" s="7" t="str">
        <f>Yleistiedot!A9</f>
        <v>Kasvattamoon tulopäivä</v>
      </c>
      <c r="H4" s="8"/>
      <c r="I4" s="1"/>
      <c r="J4" s="275">
        <f>Yleistiedot!B9</f>
        <v>42371</v>
      </c>
      <c r="K4" s="276"/>
      <c r="L4" s="138"/>
    </row>
    <row r="5" spans="1:28" ht="15.75" x14ac:dyDescent="0.25">
      <c r="A5" s="6" t="str">
        <f>Yleistiedot!A8</f>
        <v>Parvitunnus</v>
      </c>
      <c r="B5" s="1"/>
      <c r="C5" s="277">
        <f>Yleistiedot!B8</f>
        <v>0</v>
      </c>
      <c r="D5" s="278"/>
      <c r="E5" s="279"/>
      <c r="G5" s="7" t="str">
        <f>Yleistiedot!A10</f>
        <v>Toimitettu untuvikkomäärä</v>
      </c>
      <c r="H5" s="8"/>
      <c r="I5" s="1"/>
      <c r="J5" s="277">
        <f>Yleistiedot!B10</f>
        <v>10000</v>
      </c>
      <c r="K5" s="278"/>
      <c r="L5" s="67"/>
    </row>
    <row r="6" spans="1:28" ht="15.75" x14ac:dyDescent="0.25">
      <c r="A6" s="1"/>
      <c r="B6" s="1"/>
      <c r="D6" s="1"/>
      <c r="E6" s="7"/>
      <c r="F6" s="1"/>
      <c r="G6" s="6"/>
      <c r="H6" s="6"/>
      <c r="I6" s="6"/>
      <c r="L6" s="37"/>
    </row>
    <row r="7" spans="1:28" ht="15.75" x14ac:dyDescent="0.25">
      <c r="A7" s="15" t="str">
        <f>Yleistiedot!A11</f>
        <v>Huomioita</v>
      </c>
      <c r="B7" s="1"/>
      <c r="C7" s="273">
        <f>Yleistiedot!B11</f>
        <v>0</v>
      </c>
      <c r="D7" s="274"/>
      <c r="E7" s="274"/>
      <c r="F7" s="274"/>
      <c r="G7" s="274"/>
      <c r="H7" s="274"/>
      <c r="I7" s="274"/>
      <c r="J7" s="274"/>
      <c r="K7" s="274"/>
    </row>
    <row r="8" spans="1:28" ht="15.75" x14ac:dyDescent="0.25">
      <c r="F8" s="7"/>
      <c r="I8" s="4"/>
    </row>
    <row r="9" spans="1:28" ht="15.75" customHeight="1" x14ac:dyDescent="0.25">
      <c r="B9" s="1"/>
      <c r="C9" s="4"/>
      <c r="E9" s="4"/>
    </row>
    <row r="10" spans="1:28" s="10" customFormat="1" ht="45" x14ac:dyDescent="0.25">
      <c r="A10" s="126" t="s">
        <v>3</v>
      </c>
      <c r="B10" s="126" t="s">
        <v>83</v>
      </c>
      <c r="C10" s="127" t="s">
        <v>11</v>
      </c>
      <c r="D10" s="128" t="s">
        <v>55</v>
      </c>
      <c r="E10" s="194" t="s">
        <v>56</v>
      </c>
      <c r="F10" s="127" t="s">
        <v>12</v>
      </c>
      <c r="G10" s="194" t="s">
        <v>57</v>
      </c>
      <c r="H10" s="127" t="s">
        <v>13</v>
      </c>
      <c r="I10" s="127" t="s">
        <v>14</v>
      </c>
      <c r="J10" s="127" t="s">
        <v>15</v>
      </c>
      <c r="K10" s="128" t="s">
        <v>8</v>
      </c>
      <c r="L10" s="128" t="s">
        <v>9</v>
      </c>
      <c r="M10" s="62" t="s">
        <v>37</v>
      </c>
      <c r="N10" s="62" t="s">
        <v>38</v>
      </c>
      <c r="O10" s="62" t="s">
        <v>169</v>
      </c>
      <c r="P10" s="62" t="s">
        <v>50</v>
      </c>
      <c r="Q10" s="228" t="s">
        <v>157</v>
      </c>
      <c r="R10" s="228" t="s">
        <v>163</v>
      </c>
      <c r="S10" s="228" t="s">
        <v>159</v>
      </c>
      <c r="T10" s="228" t="s">
        <v>166</v>
      </c>
      <c r="U10" s="228" t="s">
        <v>158</v>
      </c>
      <c r="V10" s="228" t="s">
        <v>164</v>
      </c>
      <c r="W10" s="228" t="s">
        <v>160</v>
      </c>
      <c r="X10" s="228" t="s">
        <v>167</v>
      </c>
      <c r="Y10" s="228" t="s">
        <v>161</v>
      </c>
      <c r="Z10" s="228" t="s">
        <v>165</v>
      </c>
      <c r="AA10" s="228" t="s">
        <v>162</v>
      </c>
      <c r="AB10" s="228" t="s">
        <v>168</v>
      </c>
    </row>
    <row r="11" spans="1:28" s="2" customFormat="1" x14ac:dyDescent="0.25">
      <c r="A11" s="129">
        <f t="shared" ref="A11:A35" si="0">IF($J$3&gt;0,$J$3+7*B11, )</f>
        <v>42377</v>
      </c>
      <c r="B11" s="134">
        <v>1</v>
      </c>
      <c r="C11" s="130">
        <f>$J$5-SUMIFS('kasv-PVÄ'!C:C,'kasv-PVÄ'!B:B,'kasv-INFO'!B11)</f>
        <v>10000</v>
      </c>
      <c r="D11" s="131">
        <f>($J$5-C11)/$J$5*100</f>
        <v>0</v>
      </c>
      <c r="E11" s="132" t="str">
        <f>TEXT(M11 &amp; " - " &amp; N11,)</f>
        <v>73 - 77</v>
      </c>
      <c r="F11" s="130">
        <f>IFERROR(AVERAGEIFS('kasv-PVÄ'!D:D,'kasv-PVÄ'!B:B,'kasv-INFO'!B11),)</f>
        <v>0</v>
      </c>
      <c r="G11" s="181">
        <f>O11</f>
        <v>10</v>
      </c>
      <c r="H11" s="133">
        <f>IFERROR(IF(SUMIFS('kasv-PVÄ'!E:E,'kasv-PVÄ'!B:B,'kasv-INFO'!B11)&gt;0,SUMIFS('kasv-PVÄ'!E:E,'kasv-PVÄ'!B:B,'kasv-INFO'!B11)/'kasv-INFO'!C11*1000,AVERAGEIFS('kasv-PVÄ'!F:F,'kasv-PVÄ'!B:B,'kasv-INFO'!B11)),)</f>
        <v>0</v>
      </c>
      <c r="I11" s="133">
        <f>IFERROR(IF(SUMIFS('kasv-PVÄ'!G:G,'kasv-PVÄ'!B:B,'kasv-INFO'!B11)&gt;0,SUMIFS('kasv-PVÄ'!G:G,'kasv-PVÄ'!B:B,'kasv-INFO'!B11)/'kasv-INFO'!C11*1000,AVERAGEIFS('kasv-PVÄ'!H:H,'kasv-PVÄ'!B:B,'kasv-INFO'!B11)),)</f>
        <v>0</v>
      </c>
      <c r="J11" s="133">
        <f>IFERROR(I11/H11, )</f>
        <v>0</v>
      </c>
      <c r="K11" s="133">
        <f>IFERROR(AVERAGEIFS('kasv-PVÄ'!I:I,'kasv-PVÄ'!B:B,'kasv-INFO'!B11),)</f>
        <v>0</v>
      </c>
      <c r="L11" s="133"/>
      <c r="M11" s="239">
        <f>CHOOSE(Yleistiedot!$D$28,Q11,R11,S11,T11)</f>
        <v>73</v>
      </c>
      <c r="N11" s="239">
        <f>CHOOSE(Yleistiedot!$D$28,U11,W11,V11,X11)</f>
        <v>77</v>
      </c>
      <c r="O11" s="239">
        <f>CHOOSE(Yleistiedot!$D$28,Y11,AA11,Z11,AB11)</f>
        <v>10</v>
      </c>
      <c r="P11" s="240">
        <f>N11-M11</f>
        <v>4</v>
      </c>
      <c r="Q11" s="239">
        <v>73</v>
      </c>
      <c r="R11" s="241">
        <v>72</v>
      </c>
      <c r="S11" s="224">
        <v>68</v>
      </c>
      <c r="T11" s="241">
        <v>67</v>
      </c>
      <c r="U11" s="239">
        <v>77</v>
      </c>
      <c r="V11" s="241">
        <v>78</v>
      </c>
      <c r="W11" s="224">
        <v>72</v>
      </c>
      <c r="X11" s="241">
        <v>73</v>
      </c>
      <c r="Y11" s="224">
        <v>10</v>
      </c>
      <c r="Z11" s="241">
        <v>10</v>
      </c>
      <c r="AA11" s="224">
        <v>10</v>
      </c>
      <c r="AB11" s="241">
        <v>10</v>
      </c>
    </row>
    <row r="12" spans="1:28" s="2" customFormat="1" x14ac:dyDescent="0.25">
      <c r="A12" s="129">
        <f t="shared" si="0"/>
        <v>42384</v>
      </c>
      <c r="B12" s="134">
        <v>2</v>
      </c>
      <c r="C12" s="130">
        <f>C11-SUMIFS('kasv-PVÄ'!C:C,'kasv-PVÄ'!B:B,'kasv-INFO'!B12)</f>
        <v>10000</v>
      </c>
      <c r="D12" s="131">
        <f t="shared" ref="D12:D35" si="1">($J$5-C12)/$J$5*100</f>
        <v>0</v>
      </c>
      <c r="E12" s="132" t="str">
        <f t="shared" ref="E12:E35" si="2">TEXT(M12 &amp; " - " &amp; N12,)</f>
        <v>121 - 129</v>
      </c>
      <c r="F12" s="130">
        <f>IFERROR(AVERAGEIFS('kasv-PVÄ'!D:D,'kasv-PVÄ'!B:B,'kasv-INFO'!B12),)</f>
        <v>0</v>
      </c>
      <c r="G12" s="181">
        <f t="shared" ref="G12:G30" si="3">O12</f>
        <v>17</v>
      </c>
      <c r="H12" s="133">
        <f>IFERROR(IF(SUMIFS('kasv-PVÄ'!E:E,'kasv-PVÄ'!B:B,'kasv-INFO'!B12)&gt;0,SUMIFS('kasv-PVÄ'!E:E,'kasv-PVÄ'!B:B,'kasv-INFO'!B12)/'kasv-INFO'!C12*1000,AVERAGEIFS('kasv-PVÄ'!F:F,'kasv-PVÄ'!B:B,'kasv-INFO'!B12)),)</f>
        <v>0</v>
      </c>
      <c r="I12" s="133">
        <f>IFERROR(IF(SUMIFS('kasv-PVÄ'!G:G,'kasv-PVÄ'!B:B,'kasv-INFO'!B12)&gt;0,SUMIFS('kasv-PVÄ'!G:G,'kasv-PVÄ'!B:B,'kasv-INFO'!B12)/'kasv-INFO'!C12*1000,AVERAGEIFS('kasv-PVÄ'!H:H,'kasv-PVÄ'!B:B,'kasv-INFO'!B12)),)</f>
        <v>0</v>
      </c>
      <c r="J12" s="133">
        <f>IFERROR(I12/H12, )</f>
        <v>0</v>
      </c>
      <c r="K12" s="133">
        <f>IFERROR(AVERAGEIFS('kasv-PVÄ'!I:I,'kasv-PVÄ'!B:B,'kasv-INFO'!B12),)</f>
        <v>0</v>
      </c>
      <c r="L12" s="133">
        <f>'kasv-PVÄ'!J10</f>
        <v>0</v>
      </c>
      <c r="M12" s="239">
        <f>CHOOSE(Yleistiedot!$D$28,Q12,R12,S12,T12)</f>
        <v>121</v>
      </c>
      <c r="N12" s="239">
        <f>CHOOSE(Yleistiedot!$D$28,U12,W12,V12,X12)</f>
        <v>129</v>
      </c>
      <c r="O12" s="239">
        <f>CHOOSE(Yleistiedot!$D$28,Y12,AA12,Z12,AB12)</f>
        <v>17</v>
      </c>
      <c r="P12" s="240">
        <f>N12-M12</f>
        <v>8</v>
      </c>
      <c r="Q12" s="239">
        <v>121</v>
      </c>
      <c r="R12" s="241">
        <v>120</v>
      </c>
      <c r="S12" s="224">
        <v>116</v>
      </c>
      <c r="T12" s="241">
        <v>115</v>
      </c>
      <c r="U12" s="239">
        <v>129</v>
      </c>
      <c r="V12" s="241">
        <v>130</v>
      </c>
      <c r="W12" s="224">
        <v>124</v>
      </c>
      <c r="X12" s="241">
        <v>125</v>
      </c>
      <c r="Y12" s="224">
        <v>17</v>
      </c>
      <c r="Z12" s="241">
        <v>17</v>
      </c>
      <c r="AA12" s="224">
        <v>17</v>
      </c>
      <c r="AB12" s="241">
        <v>17</v>
      </c>
    </row>
    <row r="13" spans="1:28" s="2" customFormat="1" x14ac:dyDescent="0.25">
      <c r="A13" s="129">
        <f t="shared" si="0"/>
        <v>42391</v>
      </c>
      <c r="B13" s="134">
        <v>3</v>
      </c>
      <c r="C13" s="130">
        <f>C12-SUMIFS('kasv-PVÄ'!C:C,'kasv-PVÄ'!B:B,'kasv-INFO'!B13)</f>
        <v>10000</v>
      </c>
      <c r="D13" s="131">
        <f t="shared" si="1"/>
        <v>0</v>
      </c>
      <c r="E13" s="132" t="str">
        <f t="shared" si="2"/>
        <v>181 - 193</v>
      </c>
      <c r="F13" s="130">
        <f>IFERROR(AVERAGEIFS('kasv-PVÄ'!D:D,'kasv-PVÄ'!B:B,'kasv-INFO'!B13),)</f>
        <v>0</v>
      </c>
      <c r="G13" s="181">
        <f t="shared" si="3"/>
        <v>23</v>
      </c>
      <c r="H13" s="133">
        <f>IFERROR(IF(SUMIFS('kasv-PVÄ'!E:E,'kasv-PVÄ'!B:B,'kasv-INFO'!B13)&gt;0,SUMIFS('kasv-PVÄ'!E:E,'kasv-PVÄ'!B:B,'kasv-INFO'!B13)/'kasv-INFO'!C13*1000,AVERAGEIFS('kasv-PVÄ'!F:F,'kasv-PVÄ'!B:B,'kasv-INFO'!B13)),)</f>
        <v>0</v>
      </c>
      <c r="I13" s="133">
        <f>IFERROR(IF(SUMIFS('kasv-PVÄ'!G:G,'kasv-PVÄ'!B:B,'kasv-INFO'!B13)&gt;0,SUMIFS('kasv-PVÄ'!G:G,'kasv-PVÄ'!B:B,'kasv-INFO'!B13)/'kasv-INFO'!C13*1000,AVERAGEIFS('kasv-PVÄ'!H:H,'kasv-PVÄ'!B:B,'kasv-INFO'!B13)),)</f>
        <v>0</v>
      </c>
      <c r="J13" s="133">
        <f t="shared" ref="J13:J35" si="4">IFERROR(I13/H13, )</f>
        <v>0</v>
      </c>
      <c r="K13" s="133">
        <f>IFERROR(AVERAGEIFS('kasv-PVÄ'!I:I,'kasv-PVÄ'!B:B,'kasv-INFO'!B13),)</f>
        <v>0</v>
      </c>
      <c r="L13" s="133">
        <f>'kasv-PVÄ'!J11</f>
        <v>0</v>
      </c>
      <c r="M13" s="239">
        <f>CHOOSE(Yleistiedot!$D$28,Q13,R13,S13,T13)</f>
        <v>181</v>
      </c>
      <c r="N13" s="239">
        <f>CHOOSE(Yleistiedot!$D$28,U13,W13,V13,X13)</f>
        <v>193</v>
      </c>
      <c r="O13" s="239">
        <f>CHOOSE(Yleistiedot!$D$28,Y13,AA13,Z13,AB13)</f>
        <v>23</v>
      </c>
      <c r="P13" s="240">
        <f t="shared" ref="P13:P34" si="5">N13-M13</f>
        <v>12</v>
      </c>
      <c r="Q13" s="239">
        <v>181</v>
      </c>
      <c r="R13" s="241">
        <v>180</v>
      </c>
      <c r="S13" s="224">
        <v>179</v>
      </c>
      <c r="T13" s="241">
        <v>178</v>
      </c>
      <c r="U13" s="239">
        <v>193</v>
      </c>
      <c r="V13" s="241">
        <v>194</v>
      </c>
      <c r="W13" s="224">
        <v>191</v>
      </c>
      <c r="X13" s="241">
        <v>192</v>
      </c>
      <c r="Y13" s="224">
        <v>23</v>
      </c>
      <c r="Z13" s="241">
        <v>23</v>
      </c>
      <c r="AA13" s="224">
        <v>23</v>
      </c>
      <c r="AB13" s="241">
        <v>23</v>
      </c>
    </row>
    <row r="14" spans="1:28" s="2" customFormat="1" x14ac:dyDescent="0.25">
      <c r="A14" s="129">
        <f t="shared" si="0"/>
        <v>42398</v>
      </c>
      <c r="B14" s="134">
        <v>4</v>
      </c>
      <c r="C14" s="130">
        <f>C13-SUMIFS('kasv-PVÄ'!C:C,'kasv-PVÄ'!B:B,'kasv-INFO'!B14)</f>
        <v>10000</v>
      </c>
      <c r="D14" s="131">
        <f t="shared" si="1"/>
        <v>0</v>
      </c>
      <c r="E14" s="132" t="str">
        <f t="shared" si="2"/>
        <v>249 - 265</v>
      </c>
      <c r="F14" s="130">
        <f>IFERROR(AVERAGEIFS('kasv-PVÄ'!D:D,'kasv-PVÄ'!B:B,'kasv-INFO'!B14),)</f>
        <v>0</v>
      </c>
      <c r="G14" s="181">
        <f t="shared" si="3"/>
        <v>29</v>
      </c>
      <c r="H14" s="133">
        <f>IFERROR(IF(SUMIFS('kasv-PVÄ'!E:E,'kasv-PVÄ'!B:B,'kasv-INFO'!B14)&gt;0,SUMIFS('kasv-PVÄ'!E:E,'kasv-PVÄ'!B:B,'kasv-INFO'!B14)/'kasv-INFO'!C14*1000,AVERAGEIFS('kasv-PVÄ'!F:F,'kasv-PVÄ'!B:B,'kasv-INFO'!B14)),)</f>
        <v>0</v>
      </c>
      <c r="I14" s="133">
        <f>IFERROR(IF(SUMIFS('kasv-PVÄ'!G:G,'kasv-PVÄ'!B:B,'kasv-INFO'!B14)&gt;0,SUMIFS('kasv-PVÄ'!G:G,'kasv-PVÄ'!B:B,'kasv-INFO'!B14)/'kasv-INFO'!C14*1000,AVERAGEIFS('kasv-PVÄ'!H:H,'kasv-PVÄ'!B:B,'kasv-INFO'!B14)),)</f>
        <v>0</v>
      </c>
      <c r="J14" s="133">
        <f t="shared" si="4"/>
        <v>0</v>
      </c>
      <c r="K14" s="133">
        <f>IFERROR(AVERAGEIFS('kasv-PVÄ'!I:I,'kasv-PVÄ'!B:B,'kasv-INFO'!B14),)</f>
        <v>0</v>
      </c>
      <c r="L14" s="133">
        <f>'kasv-PVÄ'!J12</f>
        <v>0</v>
      </c>
      <c r="M14" s="239">
        <f>CHOOSE(Yleistiedot!$D$28,Q14,R14,S14,T14)</f>
        <v>249</v>
      </c>
      <c r="N14" s="239">
        <f>CHOOSE(Yleistiedot!$D$28,U14,W14,V14,X14)</f>
        <v>265</v>
      </c>
      <c r="O14" s="239">
        <f>CHOOSE(Yleistiedot!$D$28,Y14,AA14,Z14,AB14)</f>
        <v>29</v>
      </c>
      <c r="P14" s="240">
        <f t="shared" si="5"/>
        <v>16</v>
      </c>
      <c r="Q14" s="239">
        <v>249</v>
      </c>
      <c r="R14" s="241">
        <v>247</v>
      </c>
      <c r="S14" s="224">
        <v>247</v>
      </c>
      <c r="T14" s="241">
        <v>245</v>
      </c>
      <c r="U14" s="239">
        <v>265</v>
      </c>
      <c r="V14" s="241">
        <v>267</v>
      </c>
      <c r="W14" s="224">
        <v>263</v>
      </c>
      <c r="X14" s="241">
        <v>265</v>
      </c>
      <c r="Y14" s="224">
        <v>29</v>
      </c>
      <c r="Z14" s="241">
        <v>29</v>
      </c>
      <c r="AA14" s="224">
        <v>29</v>
      </c>
      <c r="AB14" s="241">
        <v>29</v>
      </c>
    </row>
    <row r="15" spans="1:28" s="2" customFormat="1" x14ac:dyDescent="0.25">
      <c r="A15" s="129">
        <f t="shared" si="0"/>
        <v>42405</v>
      </c>
      <c r="B15" s="134">
        <v>5</v>
      </c>
      <c r="C15" s="130">
        <f>C14-SUMIFS('kasv-PVÄ'!C:C,'kasv-PVÄ'!B:B,'kasv-INFO'!B15)</f>
        <v>10000</v>
      </c>
      <c r="D15" s="131">
        <f t="shared" si="1"/>
        <v>0</v>
      </c>
      <c r="E15" s="132" t="str">
        <f t="shared" si="2"/>
        <v>327 - 347</v>
      </c>
      <c r="F15" s="130">
        <f>IFERROR(AVERAGEIFS('kasv-PVÄ'!D:D,'kasv-PVÄ'!B:B,'kasv-INFO'!B15),)</f>
        <v>0</v>
      </c>
      <c r="G15" s="181">
        <f t="shared" si="3"/>
        <v>34</v>
      </c>
      <c r="H15" s="133">
        <f>IFERROR(IF(SUMIFS('kasv-PVÄ'!E:E,'kasv-PVÄ'!B:B,'kasv-INFO'!B15)&gt;0,SUMIFS('kasv-PVÄ'!E:E,'kasv-PVÄ'!B:B,'kasv-INFO'!B15)/'kasv-INFO'!C15*1000,AVERAGEIFS('kasv-PVÄ'!F:F,'kasv-PVÄ'!B:B,'kasv-INFO'!B15)),)</f>
        <v>0</v>
      </c>
      <c r="I15" s="133">
        <f>IFERROR(IF(SUMIFS('kasv-PVÄ'!G:G,'kasv-PVÄ'!B:B,'kasv-INFO'!B15)&gt;0,SUMIFS('kasv-PVÄ'!G:G,'kasv-PVÄ'!B:B,'kasv-INFO'!B15)/'kasv-INFO'!C15*1000,AVERAGEIFS('kasv-PVÄ'!H:H,'kasv-PVÄ'!B:B,'kasv-INFO'!B15)),)</f>
        <v>0</v>
      </c>
      <c r="J15" s="133">
        <f t="shared" si="4"/>
        <v>0</v>
      </c>
      <c r="K15" s="133">
        <f>IFERROR(AVERAGEIFS('kasv-PVÄ'!I:I,'kasv-PVÄ'!B:B,'kasv-INFO'!B15),)</f>
        <v>0</v>
      </c>
      <c r="L15" s="133">
        <f>'kasv-PVÄ'!J13</f>
        <v>0</v>
      </c>
      <c r="M15" s="239">
        <f>CHOOSE(Yleistiedot!$D$28,Q15,R15,S15,T15)</f>
        <v>327</v>
      </c>
      <c r="N15" s="239">
        <f>CHOOSE(Yleistiedot!$D$28,U15,W15,V15,X15)</f>
        <v>347</v>
      </c>
      <c r="O15" s="239">
        <f>CHOOSE(Yleistiedot!$D$28,Y15,AA15,Z15,AB15)</f>
        <v>34</v>
      </c>
      <c r="P15" s="240">
        <f t="shared" si="5"/>
        <v>20</v>
      </c>
      <c r="Q15" s="239">
        <v>327</v>
      </c>
      <c r="R15" s="241">
        <v>324</v>
      </c>
      <c r="S15" s="224">
        <v>324</v>
      </c>
      <c r="T15" s="241">
        <v>321</v>
      </c>
      <c r="U15" s="239">
        <v>347</v>
      </c>
      <c r="V15" s="241">
        <v>350</v>
      </c>
      <c r="W15" s="224">
        <v>344</v>
      </c>
      <c r="X15" s="241">
        <v>347</v>
      </c>
      <c r="Y15" s="224">
        <v>34</v>
      </c>
      <c r="Z15" s="241">
        <v>34</v>
      </c>
      <c r="AA15" s="224">
        <v>34</v>
      </c>
      <c r="AB15" s="241">
        <v>34</v>
      </c>
    </row>
    <row r="16" spans="1:28" s="2" customFormat="1" x14ac:dyDescent="0.25">
      <c r="A16" s="129">
        <f t="shared" si="0"/>
        <v>42412</v>
      </c>
      <c r="B16" s="134">
        <v>6</v>
      </c>
      <c r="C16" s="130">
        <f>C15-SUMIFS('kasv-PVÄ'!C:C,'kasv-PVÄ'!B:B,'kasv-INFO'!B16)</f>
        <v>10000</v>
      </c>
      <c r="D16" s="131">
        <f t="shared" si="1"/>
        <v>0</v>
      </c>
      <c r="E16" s="132" t="str">
        <f t="shared" si="2"/>
        <v>416 - 442</v>
      </c>
      <c r="F16" s="130">
        <f>IFERROR(AVERAGEIFS('kasv-PVÄ'!D:D,'kasv-PVÄ'!B:B,'kasv-INFO'!B16),)</f>
        <v>0</v>
      </c>
      <c r="G16" s="181">
        <f t="shared" si="3"/>
        <v>37</v>
      </c>
      <c r="H16" s="133">
        <f>IFERROR(IF(SUMIFS('kasv-PVÄ'!E:E,'kasv-PVÄ'!B:B,'kasv-INFO'!B16)&gt;0,SUMIFS('kasv-PVÄ'!E:E,'kasv-PVÄ'!B:B,'kasv-INFO'!B16)/'kasv-INFO'!C16*1000,AVERAGEIFS('kasv-PVÄ'!F:F,'kasv-PVÄ'!B:B,'kasv-INFO'!B16)),)</f>
        <v>0</v>
      </c>
      <c r="I16" s="133">
        <f>IFERROR(IF(SUMIFS('kasv-PVÄ'!G:G,'kasv-PVÄ'!B:B,'kasv-INFO'!B16)&gt;0,SUMIFS('kasv-PVÄ'!G:G,'kasv-PVÄ'!B:B,'kasv-INFO'!B16)/'kasv-INFO'!C16*1000,AVERAGEIFS('kasv-PVÄ'!H:H,'kasv-PVÄ'!B:B,'kasv-INFO'!B16)),)</f>
        <v>0</v>
      </c>
      <c r="J16" s="133">
        <f t="shared" si="4"/>
        <v>0</v>
      </c>
      <c r="K16" s="133">
        <f>IFERROR(AVERAGEIFS('kasv-PVÄ'!I:I,'kasv-PVÄ'!B:B,'kasv-INFO'!B16),)</f>
        <v>0</v>
      </c>
      <c r="L16" s="133">
        <f>'kasv-PVÄ'!J14</f>
        <v>0</v>
      </c>
      <c r="M16" s="239">
        <f>CHOOSE(Yleistiedot!$D$28,Q16,R16,S16,T16)</f>
        <v>416</v>
      </c>
      <c r="N16" s="239">
        <f>CHOOSE(Yleistiedot!$D$28,U16,W16,V16,X16)</f>
        <v>442</v>
      </c>
      <c r="O16" s="239">
        <f>CHOOSE(Yleistiedot!$D$28,Y16,AA16,Z16,AB16)</f>
        <v>37</v>
      </c>
      <c r="P16" s="240">
        <f t="shared" si="5"/>
        <v>26</v>
      </c>
      <c r="Q16" s="239">
        <v>416</v>
      </c>
      <c r="R16" s="241">
        <v>412</v>
      </c>
      <c r="S16" s="224">
        <v>412</v>
      </c>
      <c r="T16" s="241">
        <v>408</v>
      </c>
      <c r="U16" s="239">
        <v>442</v>
      </c>
      <c r="V16" s="241">
        <v>446</v>
      </c>
      <c r="W16" s="224">
        <v>438</v>
      </c>
      <c r="X16" s="241">
        <v>442</v>
      </c>
      <c r="Y16" s="224">
        <v>37</v>
      </c>
      <c r="Z16" s="241">
        <v>37</v>
      </c>
      <c r="AA16" s="224">
        <v>38</v>
      </c>
      <c r="AB16" s="241">
        <v>37</v>
      </c>
    </row>
    <row r="17" spans="1:28" x14ac:dyDescent="0.25">
      <c r="A17" s="129">
        <f t="shared" si="0"/>
        <v>42419</v>
      </c>
      <c r="B17" s="134">
        <v>7</v>
      </c>
      <c r="C17" s="130">
        <f>C16-SUMIFS('kasv-PVÄ'!C:C,'kasv-PVÄ'!B:B,'kasv-INFO'!B17)</f>
        <v>10000</v>
      </c>
      <c r="D17" s="131">
        <f t="shared" si="1"/>
        <v>0</v>
      </c>
      <c r="E17" s="132" t="str">
        <f t="shared" si="2"/>
        <v>513 - 545</v>
      </c>
      <c r="F17" s="130">
        <f>IFERROR(AVERAGEIFS('kasv-PVÄ'!D:D,'kasv-PVÄ'!B:B,'kasv-INFO'!B17),)</f>
        <v>0</v>
      </c>
      <c r="G17" s="181">
        <f t="shared" si="3"/>
        <v>41</v>
      </c>
      <c r="H17" s="133">
        <f>IFERROR(IF(SUMIFS('kasv-PVÄ'!E:E,'kasv-PVÄ'!B:B,'kasv-INFO'!B17)&gt;0,SUMIFS('kasv-PVÄ'!E:E,'kasv-PVÄ'!B:B,'kasv-INFO'!B17)/'kasv-INFO'!C17*1000,AVERAGEIFS('kasv-PVÄ'!F:F,'kasv-PVÄ'!B:B,'kasv-INFO'!B17)),)</f>
        <v>0</v>
      </c>
      <c r="I17" s="133">
        <f>IFERROR(IF(SUMIFS('kasv-PVÄ'!G:G,'kasv-PVÄ'!B:B,'kasv-INFO'!B17)&gt;0,SUMIFS('kasv-PVÄ'!G:G,'kasv-PVÄ'!B:B,'kasv-INFO'!B17)/'kasv-INFO'!C17*1000,AVERAGEIFS('kasv-PVÄ'!H:H,'kasv-PVÄ'!B:B,'kasv-INFO'!B17)),)</f>
        <v>0</v>
      </c>
      <c r="J17" s="133">
        <f t="shared" si="4"/>
        <v>0</v>
      </c>
      <c r="K17" s="133">
        <f>IFERROR(AVERAGEIFS('kasv-PVÄ'!I:I,'kasv-PVÄ'!B:B,'kasv-INFO'!B17),)</f>
        <v>0</v>
      </c>
      <c r="L17" s="133">
        <f>'kasv-PVÄ'!J15</f>
        <v>0</v>
      </c>
      <c r="M17" s="239">
        <f>CHOOSE(Yleistiedot!$D$28,Q17,R17,S17,T17)</f>
        <v>513</v>
      </c>
      <c r="N17" s="239">
        <f>CHOOSE(Yleistiedot!$D$28,U17,W17,V17,X17)</f>
        <v>545</v>
      </c>
      <c r="O17" s="239">
        <f>CHOOSE(Yleistiedot!$D$28,Y17,AA17,Z17,AB17)</f>
        <v>41</v>
      </c>
      <c r="P17" s="240">
        <f t="shared" si="5"/>
        <v>32</v>
      </c>
      <c r="Q17" s="239">
        <v>513</v>
      </c>
      <c r="R17" s="241">
        <v>508</v>
      </c>
      <c r="S17" s="224">
        <v>508</v>
      </c>
      <c r="T17" s="241">
        <v>503</v>
      </c>
      <c r="U17" s="239">
        <v>545</v>
      </c>
      <c r="V17" s="241">
        <v>550</v>
      </c>
      <c r="W17" s="224">
        <v>540</v>
      </c>
      <c r="X17" s="241">
        <v>545</v>
      </c>
      <c r="Y17" s="224">
        <v>41</v>
      </c>
      <c r="Z17" s="241">
        <v>41</v>
      </c>
      <c r="AA17" s="224">
        <v>42</v>
      </c>
      <c r="AB17" s="241">
        <v>41</v>
      </c>
    </row>
    <row r="18" spans="1:28" x14ac:dyDescent="0.25">
      <c r="A18" s="129">
        <f t="shared" si="0"/>
        <v>42426</v>
      </c>
      <c r="B18" s="134">
        <v>8</v>
      </c>
      <c r="C18" s="130">
        <f>C17-SUMIFS('kasv-PVÄ'!C:C,'kasv-PVÄ'!B:B,'kasv-INFO'!B18)</f>
        <v>10000</v>
      </c>
      <c r="D18" s="131">
        <f t="shared" si="1"/>
        <v>0</v>
      </c>
      <c r="E18" s="132" t="str">
        <f t="shared" si="2"/>
        <v>605 - 643</v>
      </c>
      <c r="F18" s="130">
        <f>IFERROR(AVERAGEIFS('kasv-PVÄ'!D:D,'kasv-PVÄ'!B:B,'kasv-INFO'!B18),)</f>
        <v>0</v>
      </c>
      <c r="G18" s="181">
        <f t="shared" si="3"/>
        <v>45</v>
      </c>
      <c r="H18" s="133">
        <f>IFERROR(IF(SUMIFS('kasv-PVÄ'!E:E,'kasv-PVÄ'!B:B,'kasv-INFO'!B18)&gt;0,SUMIFS('kasv-PVÄ'!E:E,'kasv-PVÄ'!B:B,'kasv-INFO'!B18)/'kasv-INFO'!C18*1000,AVERAGEIFS('kasv-PVÄ'!F:F,'kasv-PVÄ'!B:B,'kasv-INFO'!B18)),)</f>
        <v>0</v>
      </c>
      <c r="I18" s="133">
        <f>IFERROR(IF(SUMIFS('kasv-PVÄ'!G:G,'kasv-PVÄ'!B:B,'kasv-INFO'!B18)&gt;0,SUMIFS('kasv-PVÄ'!G:G,'kasv-PVÄ'!B:B,'kasv-INFO'!B18)/'kasv-INFO'!C18*1000,AVERAGEIFS('kasv-PVÄ'!H:H,'kasv-PVÄ'!B:B,'kasv-INFO'!B18)),)</f>
        <v>0</v>
      </c>
      <c r="J18" s="133">
        <f t="shared" si="4"/>
        <v>0</v>
      </c>
      <c r="K18" s="133">
        <f>IFERROR(AVERAGEIFS('kasv-PVÄ'!I:I,'kasv-PVÄ'!B:B,'kasv-INFO'!B18),)</f>
        <v>0</v>
      </c>
      <c r="L18" s="133">
        <f>'kasv-PVÄ'!J16</f>
        <v>0</v>
      </c>
      <c r="M18" s="239">
        <f>CHOOSE(Yleistiedot!$D$28,Q18,R18,S18,T18)</f>
        <v>605</v>
      </c>
      <c r="N18" s="239">
        <f>CHOOSE(Yleistiedot!$D$28,U18,W18,V18,X18)</f>
        <v>643</v>
      </c>
      <c r="O18" s="239">
        <f>CHOOSE(Yleistiedot!$D$28,Y18,AA18,Z18,AB18)</f>
        <v>45</v>
      </c>
      <c r="P18" s="240">
        <f t="shared" si="5"/>
        <v>38</v>
      </c>
      <c r="Q18" s="239">
        <v>605</v>
      </c>
      <c r="R18" s="241">
        <v>599</v>
      </c>
      <c r="S18" s="224">
        <v>599</v>
      </c>
      <c r="T18" s="241">
        <v>593</v>
      </c>
      <c r="U18" s="239">
        <v>643</v>
      </c>
      <c r="V18" s="241">
        <v>649</v>
      </c>
      <c r="W18" s="224">
        <v>637</v>
      </c>
      <c r="X18" s="241">
        <v>643</v>
      </c>
      <c r="Y18" s="224">
        <v>45</v>
      </c>
      <c r="Z18" s="241">
        <v>45</v>
      </c>
      <c r="AA18" s="224">
        <v>46</v>
      </c>
      <c r="AB18" s="241">
        <v>45</v>
      </c>
    </row>
    <row r="19" spans="1:28" x14ac:dyDescent="0.25">
      <c r="A19" s="129">
        <f t="shared" si="0"/>
        <v>42433</v>
      </c>
      <c r="B19" s="134">
        <v>9</v>
      </c>
      <c r="C19" s="130">
        <f>C18-SUMIFS('kasv-PVÄ'!C:C,'kasv-PVÄ'!B:B,'kasv-INFO'!B19)</f>
        <v>10000</v>
      </c>
      <c r="D19" s="131">
        <f t="shared" si="1"/>
        <v>0</v>
      </c>
      <c r="E19" s="132" t="str">
        <f t="shared" si="2"/>
        <v>697 - 741</v>
      </c>
      <c r="F19" s="130">
        <f>IFERROR(AVERAGEIFS('kasv-PVÄ'!D:D,'kasv-PVÄ'!B:B,'kasv-INFO'!B19),)</f>
        <v>0</v>
      </c>
      <c r="G19" s="181">
        <f t="shared" si="3"/>
        <v>49</v>
      </c>
      <c r="H19" s="133">
        <f>IFERROR(IF(SUMIFS('kasv-PVÄ'!E:E,'kasv-PVÄ'!B:B,'kasv-INFO'!B19)&gt;0,SUMIFS('kasv-PVÄ'!E:E,'kasv-PVÄ'!B:B,'kasv-INFO'!B19)/'kasv-INFO'!C19*1000,AVERAGEIFS('kasv-PVÄ'!F:F,'kasv-PVÄ'!B:B,'kasv-INFO'!B19)),)</f>
        <v>0</v>
      </c>
      <c r="I19" s="133">
        <f>IFERROR(IF(SUMIFS('kasv-PVÄ'!G:G,'kasv-PVÄ'!B:B,'kasv-INFO'!B19)&gt;0,SUMIFS('kasv-PVÄ'!G:G,'kasv-PVÄ'!B:B,'kasv-INFO'!B19)/'kasv-INFO'!C19*1000,AVERAGEIFS('kasv-PVÄ'!H:H,'kasv-PVÄ'!B:B,'kasv-INFO'!B19)),)</f>
        <v>0</v>
      </c>
      <c r="J19" s="133">
        <f t="shared" si="4"/>
        <v>0</v>
      </c>
      <c r="K19" s="133">
        <f>IFERROR(AVERAGEIFS('kasv-PVÄ'!I:I,'kasv-PVÄ'!B:B,'kasv-INFO'!B19),)</f>
        <v>0</v>
      </c>
      <c r="L19" s="133">
        <f>'kasv-PVÄ'!J17</f>
        <v>0</v>
      </c>
      <c r="M19" s="239">
        <f>CHOOSE(Yleistiedot!$D$28,Q19,R19,S19,T19)</f>
        <v>697</v>
      </c>
      <c r="N19" s="239">
        <f>CHOOSE(Yleistiedot!$D$28,U19,W19,V19,X19)</f>
        <v>741</v>
      </c>
      <c r="O19" s="239">
        <f>CHOOSE(Yleistiedot!$D$28,Y19,AA19,Z19,AB19)</f>
        <v>49</v>
      </c>
      <c r="P19" s="240">
        <f t="shared" si="5"/>
        <v>44</v>
      </c>
      <c r="Q19" s="239">
        <v>697</v>
      </c>
      <c r="R19" s="241">
        <v>690</v>
      </c>
      <c r="S19" s="224">
        <v>691</v>
      </c>
      <c r="T19" s="241">
        <v>684</v>
      </c>
      <c r="U19" s="239">
        <v>741</v>
      </c>
      <c r="V19" s="241">
        <v>748</v>
      </c>
      <c r="W19" s="224">
        <v>733</v>
      </c>
      <c r="X19" s="241">
        <v>740</v>
      </c>
      <c r="Y19" s="224">
        <v>49</v>
      </c>
      <c r="Z19" s="241">
        <v>49</v>
      </c>
      <c r="AA19" s="224">
        <v>49</v>
      </c>
      <c r="AB19" s="241">
        <v>49</v>
      </c>
    </row>
    <row r="20" spans="1:28" x14ac:dyDescent="0.25">
      <c r="A20" s="129">
        <f t="shared" si="0"/>
        <v>42440</v>
      </c>
      <c r="B20" s="134">
        <v>10</v>
      </c>
      <c r="C20" s="130">
        <f>C19-SUMIFS('kasv-PVÄ'!C:C,'kasv-PVÄ'!B:B,'kasv-INFO'!B20)</f>
        <v>10000</v>
      </c>
      <c r="D20" s="131">
        <f t="shared" si="1"/>
        <v>0</v>
      </c>
      <c r="E20" s="132" t="str">
        <f t="shared" si="2"/>
        <v>785 - 833</v>
      </c>
      <c r="F20" s="130">
        <f>IFERROR(AVERAGEIFS('kasv-PVÄ'!D:D,'kasv-PVÄ'!B:B,'kasv-INFO'!B20),)</f>
        <v>0</v>
      </c>
      <c r="G20" s="181">
        <f t="shared" si="3"/>
        <v>53</v>
      </c>
      <c r="H20" s="133">
        <f>IFERROR(IF(SUMIFS('kasv-PVÄ'!E:E,'kasv-PVÄ'!B:B,'kasv-INFO'!B20)&gt;0,SUMIFS('kasv-PVÄ'!E:E,'kasv-PVÄ'!B:B,'kasv-INFO'!B20)/'kasv-INFO'!C20*1000,AVERAGEIFS('kasv-PVÄ'!F:F,'kasv-PVÄ'!B:B,'kasv-INFO'!B20)),)</f>
        <v>0</v>
      </c>
      <c r="I20" s="133">
        <f>IFERROR(IF(SUMIFS('kasv-PVÄ'!G:G,'kasv-PVÄ'!B:B,'kasv-INFO'!B20)&gt;0,SUMIFS('kasv-PVÄ'!G:G,'kasv-PVÄ'!B:B,'kasv-INFO'!B20)/'kasv-INFO'!C20*1000,AVERAGEIFS('kasv-PVÄ'!H:H,'kasv-PVÄ'!B:B,'kasv-INFO'!B20)),)</f>
        <v>0</v>
      </c>
      <c r="J20" s="133">
        <f t="shared" si="4"/>
        <v>0</v>
      </c>
      <c r="K20" s="133">
        <f>IFERROR(AVERAGEIFS('kasv-PVÄ'!I:I,'kasv-PVÄ'!B:B,'kasv-INFO'!B20),)</f>
        <v>0</v>
      </c>
      <c r="L20" s="133">
        <f>'kasv-PVÄ'!J18</f>
        <v>0</v>
      </c>
      <c r="M20" s="239">
        <f>CHOOSE(Yleistiedot!$D$28,Q20,R20,S20,T20)</f>
        <v>785</v>
      </c>
      <c r="N20" s="239">
        <f>CHOOSE(Yleistiedot!$D$28,U20,W20,V20,X20)</f>
        <v>833</v>
      </c>
      <c r="O20" s="239">
        <f>CHOOSE(Yleistiedot!$D$28,Y20,AA20,Z20,AB20)</f>
        <v>53</v>
      </c>
      <c r="P20" s="240">
        <f t="shared" si="5"/>
        <v>48</v>
      </c>
      <c r="Q20" s="239">
        <v>785</v>
      </c>
      <c r="R20" s="241">
        <v>777</v>
      </c>
      <c r="S20" s="224">
        <v>778</v>
      </c>
      <c r="T20" s="241">
        <v>770</v>
      </c>
      <c r="U20" s="239">
        <v>833</v>
      </c>
      <c r="V20" s="241">
        <v>841</v>
      </c>
      <c r="W20" s="224">
        <v>826</v>
      </c>
      <c r="X20" s="241">
        <v>834</v>
      </c>
      <c r="Y20" s="224">
        <v>53</v>
      </c>
      <c r="Z20" s="241">
        <v>53</v>
      </c>
      <c r="AA20" s="224">
        <v>52</v>
      </c>
      <c r="AB20" s="241">
        <v>53</v>
      </c>
    </row>
    <row r="21" spans="1:28" x14ac:dyDescent="0.25">
      <c r="A21" s="129">
        <f t="shared" si="0"/>
        <v>42447</v>
      </c>
      <c r="B21" s="134">
        <v>11</v>
      </c>
      <c r="C21" s="130">
        <f>C20-SUMIFS('kasv-PVÄ'!C:C,'kasv-PVÄ'!B:B,'kasv-INFO'!B21)</f>
        <v>10000</v>
      </c>
      <c r="D21" s="131">
        <f t="shared" si="1"/>
        <v>0</v>
      </c>
      <c r="E21" s="132" t="str">
        <f t="shared" si="2"/>
        <v>860 - 914</v>
      </c>
      <c r="F21" s="130">
        <f>IFERROR(AVERAGEIFS('kasv-PVÄ'!D:D,'kasv-PVÄ'!B:B,'kasv-INFO'!B21),)</f>
        <v>0</v>
      </c>
      <c r="G21" s="181">
        <f t="shared" si="3"/>
        <v>56</v>
      </c>
      <c r="H21" s="133">
        <f>IFERROR(IF(SUMIFS('kasv-PVÄ'!E:E,'kasv-PVÄ'!B:B,'kasv-INFO'!B21)&gt;0,SUMIFS('kasv-PVÄ'!E:E,'kasv-PVÄ'!B:B,'kasv-INFO'!B21)/'kasv-INFO'!C21*1000,AVERAGEIFS('kasv-PVÄ'!F:F,'kasv-PVÄ'!B:B,'kasv-INFO'!B21)),)</f>
        <v>0</v>
      </c>
      <c r="I21" s="133">
        <f>IFERROR(IF(SUMIFS('kasv-PVÄ'!G:G,'kasv-PVÄ'!B:B,'kasv-INFO'!B21)&gt;0,SUMIFS('kasv-PVÄ'!G:G,'kasv-PVÄ'!B:B,'kasv-INFO'!B21)/'kasv-INFO'!C21*1000,AVERAGEIFS('kasv-PVÄ'!H:H,'kasv-PVÄ'!B:B,'kasv-INFO'!B21)),)</f>
        <v>0</v>
      </c>
      <c r="J21" s="133">
        <f t="shared" si="4"/>
        <v>0</v>
      </c>
      <c r="K21" s="133">
        <f>IFERROR(AVERAGEIFS('kasv-PVÄ'!I:I,'kasv-PVÄ'!B:B,'kasv-INFO'!B21),)</f>
        <v>0</v>
      </c>
      <c r="L21" s="133">
        <f>'kasv-PVÄ'!J19</f>
        <v>0</v>
      </c>
      <c r="M21" s="239">
        <f>CHOOSE(Yleistiedot!$D$28,Q21,R21,S21,T21)</f>
        <v>860</v>
      </c>
      <c r="N21" s="239">
        <f>CHOOSE(Yleistiedot!$D$28,U21,W21,V21,X21)</f>
        <v>914</v>
      </c>
      <c r="O21" s="239">
        <f>CHOOSE(Yleistiedot!$D$28,Y21,AA21,Z21,AB21)</f>
        <v>56</v>
      </c>
      <c r="P21" s="240">
        <f t="shared" si="5"/>
        <v>54</v>
      </c>
      <c r="Q21" s="239">
        <v>860</v>
      </c>
      <c r="R21" s="241">
        <v>852</v>
      </c>
      <c r="S21" s="224">
        <v>854</v>
      </c>
      <c r="T21" s="241">
        <v>845</v>
      </c>
      <c r="U21" s="239">
        <v>914</v>
      </c>
      <c r="V21" s="241">
        <v>922</v>
      </c>
      <c r="W21" s="224">
        <v>906</v>
      </c>
      <c r="X21" s="241">
        <v>915</v>
      </c>
      <c r="Y21" s="224">
        <v>56</v>
      </c>
      <c r="Z21" s="241">
        <v>56</v>
      </c>
      <c r="AA21" s="224">
        <v>55</v>
      </c>
      <c r="AB21" s="241">
        <v>56</v>
      </c>
    </row>
    <row r="22" spans="1:28" x14ac:dyDescent="0.25">
      <c r="A22" s="129">
        <f t="shared" si="0"/>
        <v>42454</v>
      </c>
      <c r="B22" s="134">
        <v>12</v>
      </c>
      <c r="C22" s="130">
        <f>C21-SUMIFS('kasv-PVÄ'!C:C,'kasv-PVÄ'!B:B,'kasv-INFO'!B22)</f>
        <v>10000</v>
      </c>
      <c r="D22" s="131">
        <f t="shared" si="1"/>
        <v>0</v>
      </c>
      <c r="E22" s="132" t="str">
        <f t="shared" si="2"/>
        <v>928 - 986</v>
      </c>
      <c r="F22" s="130">
        <f>IFERROR(AVERAGEIFS('kasv-PVÄ'!D:D,'kasv-PVÄ'!B:B,'kasv-INFO'!B22),)</f>
        <v>0</v>
      </c>
      <c r="G22" s="181">
        <f t="shared" si="3"/>
        <v>60</v>
      </c>
      <c r="H22" s="133">
        <f>IFERROR(IF(SUMIFS('kasv-PVÄ'!E:E,'kasv-PVÄ'!B:B,'kasv-INFO'!B22)&gt;0,SUMIFS('kasv-PVÄ'!E:E,'kasv-PVÄ'!B:B,'kasv-INFO'!B22)/'kasv-INFO'!C22*1000,AVERAGEIFS('kasv-PVÄ'!F:F,'kasv-PVÄ'!B:B,'kasv-INFO'!B22)),)</f>
        <v>0</v>
      </c>
      <c r="I22" s="133">
        <f>IFERROR(IF(SUMIFS('kasv-PVÄ'!G:G,'kasv-PVÄ'!B:B,'kasv-INFO'!B22)&gt;0,SUMIFS('kasv-PVÄ'!G:G,'kasv-PVÄ'!B:B,'kasv-INFO'!B22)/'kasv-INFO'!C22*1000,AVERAGEIFS('kasv-PVÄ'!H:H,'kasv-PVÄ'!B:B,'kasv-INFO'!B22)),)</f>
        <v>0</v>
      </c>
      <c r="J22" s="133">
        <f t="shared" si="4"/>
        <v>0</v>
      </c>
      <c r="K22" s="133">
        <f>IFERROR(AVERAGEIFS('kasv-PVÄ'!I:I,'kasv-PVÄ'!B:B,'kasv-INFO'!B22),)</f>
        <v>0</v>
      </c>
      <c r="L22" s="133">
        <f>'kasv-PVÄ'!J20</f>
        <v>0</v>
      </c>
      <c r="M22" s="239">
        <f>CHOOSE(Yleistiedot!$D$28,Q22,R22,S22,T22)</f>
        <v>928</v>
      </c>
      <c r="N22" s="239">
        <f>CHOOSE(Yleistiedot!$D$28,U22,W22,V22,X22)</f>
        <v>986</v>
      </c>
      <c r="O22" s="239">
        <f>CHOOSE(Yleistiedot!$D$28,Y22,AA22,Z22,AB22)</f>
        <v>60</v>
      </c>
      <c r="P22" s="240">
        <f t="shared" si="5"/>
        <v>58</v>
      </c>
      <c r="Q22" s="239">
        <v>928</v>
      </c>
      <c r="R22" s="241">
        <v>919</v>
      </c>
      <c r="S22" s="224">
        <v>922</v>
      </c>
      <c r="T22" s="241">
        <v>912</v>
      </c>
      <c r="U22" s="239">
        <v>986</v>
      </c>
      <c r="V22" s="241">
        <v>995</v>
      </c>
      <c r="W22" s="224">
        <v>979</v>
      </c>
      <c r="X22" s="241">
        <v>988</v>
      </c>
      <c r="Y22" s="224">
        <v>60</v>
      </c>
      <c r="Z22" s="241">
        <v>60</v>
      </c>
      <c r="AA22" s="224">
        <v>58</v>
      </c>
      <c r="AB22" s="241">
        <v>60</v>
      </c>
    </row>
    <row r="23" spans="1:28" x14ac:dyDescent="0.25">
      <c r="A23" s="129">
        <f t="shared" si="0"/>
        <v>42461</v>
      </c>
      <c r="B23" s="134">
        <v>13</v>
      </c>
      <c r="C23" s="130">
        <f>C22-SUMIFS('kasv-PVÄ'!C:C,'kasv-PVÄ'!B:B,'kasv-INFO'!B23)</f>
        <v>10000</v>
      </c>
      <c r="D23" s="131">
        <f t="shared" si="1"/>
        <v>0</v>
      </c>
      <c r="E23" s="132" t="str">
        <f t="shared" si="2"/>
        <v>986 - 1048</v>
      </c>
      <c r="F23" s="130">
        <f>IFERROR(AVERAGEIFS('kasv-PVÄ'!D:D,'kasv-PVÄ'!B:B,'kasv-INFO'!B23),)</f>
        <v>0</v>
      </c>
      <c r="G23" s="181">
        <f t="shared" si="3"/>
        <v>64</v>
      </c>
      <c r="H23" s="133">
        <f>IFERROR(IF(SUMIFS('kasv-PVÄ'!E:E,'kasv-PVÄ'!B:B,'kasv-INFO'!B23)&gt;0,SUMIFS('kasv-PVÄ'!E:E,'kasv-PVÄ'!B:B,'kasv-INFO'!B23)/'kasv-INFO'!C23*1000,AVERAGEIFS('kasv-PVÄ'!F:F,'kasv-PVÄ'!B:B,'kasv-INFO'!B23)),)</f>
        <v>0</v>
      </c>
      <c r="I23" s="133">
        <f>IFERROR(IF(SUMIFS('kasv-PVÄ'!G:G,'kasv-PVÄ'!B:B,'kasv-INFO'!B23)&gt;0,SUMIFS('kasv-PVÄ'!G:G,'kasv-PVÄ'!B:B,'kasv-INFO'!B23)/'kasv-INFO'!C23*1000,AVERAGEIFS('kasv-PVÄ'!H:H,'kasv-PVÄ'!B:B,'kasv-INFO'!B23)),)</f>
        <v>0</v>
      </c>
      <c r="J23" s="133">
        <f t="shared" si="4"/>
        <v>0</v>
      </c>
      <c r="K23" s="133">
        <f>IFERROR(AVERAGEIFS('kasv-PVÄ'!I:I,'kasv-PVÄ'!B:B,'kasv-INFO'!B23),)</f>
        <v>0</v>
      </c>
      <c r="L23" s="133">
        <f>'kasv-PVÄ'!J21</f>
        <v>0</v>
      </c>
      <c r="M23" s="239">
        <f>CHOOSE(Yleistiedot!$D$28,Q23,R23,S23,T23)</f>
        <v>986</v>
      </c>
      <c r="N23" s="239">
        <f>CHOOSE(Yleistiedot!$D$28,U23,W23,V23,X23)</f>
        <v>1048</v>
      </c>
      <c r="O23" s="239">
        <f>CHOOSE(Yleistiedot!$D$28,Y23,AA23,Z23,AB23)</f>
        <v>64</v>
      </c>
      <c r="P23" s="240">
        <f t="shared" si="5"/>
        <v>62</v>
      </c>
      <c r="Q23" s="239">
        <v>986</v>
      </c>
      <c r="R23" s="241">
        <v>976</v>
      </c>
      <c r="S23" s="224">
        <v>980</v>
      </c>
      <c r="T23" s="241">
        <v>970</v>
      </c>
      <c r="U23" s="239">
        <v>1048</v>
      </c>
      <c r="V23" s="241">
        <v>1058</v>
      </c>
      <c r="W23" s="224">
        <v>1040</v>
      </c>
      <c r="X23" s="241">
        <v>1050</v>
      </c>
      <c r="Y23" s="224">
        <v>64</v>
      </c>
      <c r="Z23" s="241">
        <v>64</v>
      </c>
      <c r="AA23" s="224">
        <v>61</v>
      </c>
      <c r="AB23" s="241">
        <v>64</v>
      </c>
    </row>
    <row r="24" spans="1:28" x14ac:dyDescent="0.25">
      <c r="A24" s="129">
        <f t="shared" si="0"/>
        <v>42468</v>
      </c>
      <c r="B24" s="134">
        <v>14</v>
      </c>
      <c r="C24" s="130">
        <f>C23-SUMIFS('kasv-PVÄ'!C:C,'kasv-PVÄ'!B:B,'kasv-INFO'!B24)</f>
        <v>10000</v>
      </c>
      <c r="D24" s="131">
        <f t="shared" si="1"/>
        <v>0</v>
      </c>
      <c r="E24" s="132" t="str">
        <f t="shared" si="2"/>
        <v>1040 - 1104</v>
      </c>
      <c r="F24" s="130">
        <f>IFERROR(AVERAGEIFS('kasv-PVÄ'!D:D,'kasv-PVÄ'!B:B,'kasv-INFO'!B24),)</f>
        <v>0</v>
      </c>
      <c r="G24" s="181">
        <f t="shared" si="3"/>
        <v>67</v>
      </c>
      <c r="H24" s="133">
        <f>IFERROR(IF(SUMIFS('kasv-PVÄ'!E:E,'kasv-PVÄ'!B:B,'kasv-INFO'!B24)&gt;0,SUMIFS('kasv-PVÄ'!E:E,'kasv-PVÄ'!B:B,'kasv-INFO'!B24)/'kasv-INFO'!C24*1000,AVERAGEIFS('kasv-PVÄ'!F:F,'kasv-PVÄ'!B:B,'kasv-INFO'!B24)),)</f>
        <v>0</v>
      </c>
      <c r="I24" s="133">
        <f>IFERROR(IF(SUMIFS('kasv-PVÄ'!G:G,'kasv-PVÄ'!B:B,'kasv-INFO'!B24)&gt;0,SUMIFS('kasv-PVÄ'!G:G,'kasv-PVÄ'!B:B,'kasv-INFO'!B24)/'kasv-INFO'!C24*1000,AVERAGEIFS('kasv-PVÄ'!H:H,'kasv-PVÄ'!B:B,'kasv-INFO'!B24)),)</f>
        <v>0</v>
      </c>
      <c r="J24" s="133">
        <f t="shared" si="4"/>
        <v>0</v>
      </c>
      <c r="K24" s="133">
        <f>IFERROR(AVERAGEIFS('kasv-PVÄ'!I:I,'kasv-PVÄ'!B:B,'kasv-INFO'!B24),)</f>
        <v>0</v>
      </c>
      <c r="L24" s="133">
        <f>'kasv-PVÄ'!J22</f>
        <v>0</v>
      </c>
      <c r="M24" s="239">
        <f>CHOOSE(Yleistiedot!$D$28,Q24,R24,S24,T24)</f>
        <v>1040</v>
      </c>
      <c r="N24" s="239">
        <f>CHOOSE(Yleistiedot!$D$28,U24,W24,V24,X24)</f>
        <v>1104</v>
      </c>
      <c r="O24" s="239">
        <f>CHOOSE(Yleistiedot!$D$28,Y24,AA24,Z24,AB24)</f>
        <v>67</v>
      </c>
      <c r="P24" s="240">
        <f t="shared" si="5"/>
        <v>64</v>
      </c>
      <c r="Q24" s="239">
        <v>1040</v>
      </c>
      <c r="R24" s="241">
        <v>1029</v>
      </c>
      <c r="S24" s="224">
        <v>1033</v>
      </c>
      <c r="T24" s="241">
        <v>1022</v>
      </c>
      <c r="U24" s="239">
        <v>1104</v>
      </c>
      <c r="V24" s="241">
        <v>1115</v>
      </c>
      <c r="W24" s="224">
        <v>1097</v>
      </c>
      <c r="X24" s="241">
        <v>1108</v>
      </c>
      <c r="Y24" s="224">
        <v>67</v>
      </c>
      <c r="Z24" s="241">
        <v>67</v>
      </c>
      <c r="AA24" s="224">
        <v>64</v>
      </c>
      <c r="AB24" s="241">
        <v>67</v>
      </c>
    </row>
    <row r="25" spans="1:28" x14ac:dyDescent="0.25">
      <c r="A25" s="129">
        <f t="shared" si="0"/>
        <v>42475</v>
      </c>
      <c r="B25" s="134">
        <v>15</v>
      </c>
      <c r="C25" s="130">
        <f>C24-SUMIFS('kasv-PVÄ'!C:C,'kasv-PVÄ'!B:B,'kasv-INFO'!B25)</f>
        <v>10000</v>
      </c>
      <c r="D25" s="131">
        <f t="shared" si="1"/>
        <v>0</v>
      </c>
      <c r="E25" s="132" t="str">
        <f t="shared" si="2"/>
        <v>1088 - 1156</v>
      </c>
      <c r="F25" s="130">
        <f>IFERROR(AVERAGEIFS('kasv-PVÄ'!D:D,'kasv-PVÄ'!B:B,'kasv-INFO'!B25),)</f>
        <v>0</v>
      </c>
      <c r="G25" s="181">
        <f t="shared" si="3"/>
        <v>70</v>
      </c>
      <c r="H25" s="133">
        <f>IFERROR(IF(SUMIFS('kasv-PVÄ'!E:E,'kasv-PVÄ'!B:B,'kasv-INFO'!B25)&gt;0,SUMIFS('kasv-PVÄ'!E:E,'kasv-PVÄ'!B:B,'kasv-INFO'!B25)/'kasv-INFO'!C25*1000,AVERAGEIFS('kasv-PVÄ'!F:F,'kasv-PVÄ'!B:B,'kasv-INFO'!B25)),)</f>
        <v>0</v>
      </c>
      <c r="I25" s="133">
        <f>IFERROR(IF(SUMIFS('kasv-PVÄ'!G:G,'kasv-PVÄ'!B:B,'kasv-INFO'!B25)&gt;0,SUMIFS('kasv-PVÄ'!G:G,'kasv-PVÄ'!B:B,'kasv-INFO'!B25)/'kasv-INFO'!C25*1000,AVERAGEIFS('kasv-PVÄ'!H:H,'kasv-PVÄ'!B:B,'kasv-INFO'!B25)),)</f>
        <v>0</v>
      </c>
      <c r="J25" s="133">
        <f t="shared" si="4"/>
        <v>0</v>
      </c>
      <c r="K25" s="133">
        <f>IFERROR(AVERAGEIFS('kasv-PVÄ'!I:I,'kasv-PVÄ'!B:B,'kasv-INFO'!B25),)</f>
        <v>0</v>
      </c>
      <c r="L25" s="133">
        <f>'kasv-PVÄ'!J23</f>
        <v>0</v>
      </c>
      <c r="M25" s="239">
        <f>CHOOSE(Yleistiedot!$D$28,Q25,R25,S25,T25)</f>
        <v>1088</v>
      </c>
      <c r="N25" s="239">
        <f>CHOOSE(Yleistiedot!$D$28,U25,W25,V25,X25)</f>
        <v>1156</v>
      </c>
      <c r="O25" s="239">
        <f>CHOOSE(Yleistiedot!$D$28,Y25,AA25,Z25,AB25)</f>
        <v>70</v>
      </c>
      <c r="P25" s="240">
        <f t="shared" si="5"/>
        <v>68</v>
      </c>
      <c r="Q25" s="239">
        <v>1088</v>
      </c>
      <c r="R25" s="241">
        <v>1077</v>
      </c>
      <c r="S25" s="224">
        <v>1082</v>
      </c>
      <c r="T25" s="241">
        <v>1070</v>
      </c>
      <c r="U25" s="239">
        <v>1156</v>
      </c>
      <c r="V25" s="241">
        <v>1167</v>
      </c>
      <c r="W25" s="224">
        <v>1148</v>
      </c>
      <c r="X25" s="241">
        <v>1160</v>
      </c>
      <c r="Y25" s="224">
        <v>70</v>
      </c>
      <c r="Z25" s="241">
        <v>70</v>
      </c>
      <c r="AA25" s="224">
        <v>67</v>
      </c>
      <c r="AB25" s="241">
        <v>70</v>
      </c>
    </row>
    <row r="26" spans="1:28" x14ac:dyDescent="0.25">
      <c r="A26" s="129">
        <f t="shared" si="0"/>
        <v>42482</v>
      </c>
      <c r="B26" s="134">
        <v>16</v>
      </c>
      <c r="C26" s="130">
        <f>C25-SUMIFS('kasv-PVÄ'!C:C,'kasv-PVÄ'!B:B,'kasv-INFO'!B26)</f>
        <v>10000</v>
      </c>
      <c r="D26" s="131">
        <f t="shared" si="1"/>
        <v>0</v>
      </c>
      <c r="E26" s="132" t="str">
        <f t="shared" si="2"/>
        <v>1132 - 1202</v>
      </c>
      <c r="F26" s="130">
        <f>IFERROR(AVERAGEIFS('kasv-PVÄ'!D:D,'kasv-PVÄ'!B:B,'kasv-INFO'!B26),)</f>
        <v>0</v>
      </c>
      <c r="G26" s="181">
        <f t="shared" si="3"/>
        <v>73</v>
      </c>
      <c r="H26" s="133">
        <f>IFERROR(IF(SUMIFS('kasv-PVÄ'!E:E,'kasv-PVÄ'!B:B,'kasv-INFO'!B26)&gt;0,SUMIFS('kasv-PVÄ'!E:E,'kasv-PVÄ'!B:B,'kasv-INFO'!B26)/'kasv-INFO'!C26*1000,AVERAGEIFS('kasv-PVÄ'!F:F,'kasv-PVÄ'!B:B,'kasv-INFO'!B26)),)</f>
        <v>0</v>
      </c>
      <c r="I26" s="133">
        <f>IFERROR(IF(SUMIFS('kasv-PVÄ'!G:G,'kasv-PVÄ'!B:B,'kasv-INFO'!B26)&gt;0,SUMIFS('kasv-PVÄ'!G:G,'kasv-PVÄ'!B:B,'kasv-INFO'!B26)/'kasv-INFO'!C26*1000,AVERAGEIFS('kasv-PVÄ'!H:H,'kasv-PVÄ'!B:B,'kasv-INFO'!B26)),)</f>
        <v>0</v>
      </c>
      <c r="J26" s="133">
        <f t="shared" si="4"/>
        <v>0</v>
      </c>
      <c r="K26" s="133">
        <f>IFERROR(AVERAGEIFS('kasv-PVÄ'!I:I,'kasv-PVÄ'!B:B,'kasv-INFO'!B26),)</f>
        <v>0</v>
      </c>
      <c r="L26" s="133">
        <f>'kasv-PVÄ'!J24</f>
        <v>0</v>
      </c>
      <c r="M26" s="239">
        <f>CHOOSE(Yleistiedot!$D$28,Q26,R26,S26,T26)</f>
        <v>1132</v>
      </c>
      <c r="N26" s="239">
        <f>CHOOSE(Yleistiedot!$D$28,U26,W26,V26,X26)</f>
        <v>1202</v>
      </c>
      <c r="O26" s="239">
        <f>CHOOSE(Yleistiedot!$D$28,Y26,AA26,Z26,AB26)</f>
        <v>73</v>
      </c>
      <c r="P26" s="240">
        <f t="shared" si="5"/>
        <v>70</v>
      </c>
      <c r="Q26" s="239">
        <v>1132</v>
      </c>
      <c r="R26" s="241">
        <v>1120</v>
      </c>
      <c r="S26" s="224">
        <v>1125</v>
      </c>
      <c r="T26" s="241">
        <v>1114</v>
      </c>
      <c r="U26" s="239">
        <v>1202</v>
      </c>
      <c r="V26" s="241">
        <v>1214</v>
      </c>
      <c r="W26" s="224">
        <v>1195</v>
      </c>
      <c r="X26" s="241">
        <v>1206</v>
      </c>
      <c r="Y26" s="224">
        <v>73</v>
      </c>
      <c r="Z26" s="241">
        <v>73</v>
      </c>
      <c r="AA26" s="224">
        <v>71</v>
      </c>
      <c r="AB26" s="241">
        <v>73</v>
      </c>
    </row>
    <row r="27" spans="1:28" x14ac:dyDescent="0.25">
      <c r="A27" s="129">
        <f t="shared" si="0"/>
        <v>42489</v>
      </c>
      <c r="B27" s="134">
        <v>17</v>
      </c>
      <c r="C27" s="130">
        <f>C26-SUMIFS('kasv-PVÄ'!C:C,'kasv-PVÄ'!B:B,'kasv-INFO'!B27)</f>
        <v>10000</v>
      </c>
      <c r="D27" s="131">
        <f t="shared" si="1"/>
        <v>0</v>
      </c>
      <c r="E27" s="132" t="str">
        <f t="shared" si="2"/>
        <v>1178 - 1250</v>
      </c>
      <c r="F27" s="130">
        <f>IFERROR(AVERAGEIFS('kasv-PVÄ'!D:D,'kasv-PVÄ'!B:B,'kasv-INFO'!B27),)</f>
        <v>0</v>
      </c>
      <c r="G27" s="181">
        <f t="shared" si="3"/>
        <v>76</v>
      </c>
      <c r="H27" s="133">
        <f>IFERROR(IF(SUMIFS('kasv-PVÄ'!E:E,'kasv-PVÄ'!B:B,'kasv-INFO'!B27)&gt;0,SUMIFS('kasv-PVÄ'!E:E,'kasv-PVÄ'!B:B,'kasv-INFO'!B27)/'kasv-INFO'!C27*1000,AVERAGEIFS('kasv-PVÄ'!F:F,'kasv-PVÄ'!B:B,'kasv-INFO'!B27)),)</f>
        <v>0</v>
      </c>
      <c r="I27" s="133">
        <f>IFERROR(IF(SUMIFS('kasv-PVÄ'!G:G,'kasv-PVÄ'!B:B,'kasv-INFO'!B27)&gt;0,SUMIFS('kasv-PVÄ'!G:G,'kasv-PVÄ'!B:B,'kasv-INFO'!B27)/'kasv-INFO'!C27*1000,AVERAGEIFS('kasv-PVÄ'!H:H,'kasv-PVÄ'!B:B,'kasv-INFO'!B27)),)</f>
        <v>0</v>
      </c>
      <c r="J27" s="133">
        <f t="shared" si="4"/>
        <v>0</v>
      </c>
      <c r="K27" s="133">
        <f>IFERROR(AVERAGEIFS('kasv-PVÄ'!I:I,'kasv-PVÄ'!B:B,'kasv-INFO'!B27),)</f>
        <v>0</v>
      </c>
      <c r="L27" s="133">
        <f>'kasv-PVÄ'!J25</f>
        <v>0</v>
      </c>
      <c r="M27" s="239">
        <f>CHOOSE(Yleistiedot!$D$28,Q27,R27,S27,T27)</f>
        <v>1178</v>
      </c>
      <c r="N27" s="239">
        <f>CHOOSE(Yleistiedot!$D$28,U27,W27,V27,X27)</f>
        <v>1250</v>
      </c>
      <c r="O27" s="239">
        <f>CHOOSE(Yleistiedot!$D$28,Y27,AA27,Z27,AB27)</f>
        <v>76</v>
      </c>
      <c r="P27" s="240">
        <f t="shared" si="5"/>
        <v>72</v>
      </c>
      <c r="Q27" s="239">
        <v>1178</v>
      </c>
      <c r="R27" s="241">
        <v>1165</v>
      </c>
      <c r="S27" s="224">
        <v>1171</v>
      </c>
      <c r="T27" s="241">
        <v>1159</v>
      </c>
      <c r="U27" s="239">
        <v>1250</v>
      </c>
      <c r="V27" s="241">
        <v>1263</v>
      </c>
      <c r="W27" s="224">
        <v>1243</v>
      </c>
      <c r="X27" s="241">
        <v>1255</v>
      </c>
      <c r="Y27" s="224">
        <v>76</v>
      </c>
      <c r="Z27" s="241">
        <v>76</v>
      </c>
      <c r="AA27" s="224">
        <v>75</v>
      </c>
      <c r="AB27" s="241">
        <v>76</v>
      </c>
    </row>
    <row r="28" spans="1:28" x14ac:dyDescent="0.25">
      <c r="A28" s="129">
        <f t="shared" si="0"/>
        <v>42496</v>
      </c>
      <c r="B28" s="134">
        <v>18</v>
      </c>
      <c r="C28" s="130">
        <f>C27-SUMIFS('kasv-PVÄ'!C:C,'kasv-PVÄ'!B:B,'kasv-INFO'!B28)</f>
        <v>10000</v>
      </c>
      <c r="D28" s="131">
        <f t="shared" si="1"/>
        <v>0</v>
      </c>
      <c r="E28" s="132" t="str">
        <f t="shared" si="2"/>
        <v>1226 - 1302</v>
      </c>
      <c r="F28" s="130">
        <f>IFERROR(AVERAGEIFS('kasv-PVÄ'!D:D,'kasv-PVÄ'!B:B,'kasv-INFO'!B28),)</f>
        <v>0</v>
      </c>
      <c r="G28" s="181">
        <f t="shared" si="3"/>
        <v>79</v>
      </c>
      <c r="H28" s="133">
        <f>IFERROR(IF(SUMIFS('kasv-PVÄ'!E:E,'kasv-PVÄ'!B:B,'kasv-INFO'!B28)&gt;0,SUMIFS('kasv-PVÄ'!E:E,'kasv-PVÄ'!B:B,'kasv-INFO'!B28)/'kasv-INFO'!C28*1000,AVERAGEIFS('kasv-PVÄ'!F:F,'kasv-PVÄ'!B:B,'kasv-INFO'!B28)),)</f>
        <v>0</v>
      </c>
      <c r="I28" s="133">
        <f>IFERROR(IF(SUMIFS('kasv-PVÄ'!G:G,'kasv-PVÄ'!B:B,'kasv-INFO'!B28)&gt;0,SUMIFS('kasv-PVÄ'!G:G,'kasv-PVÄ'!B:B,'kasv-INFO'!B28)/'kasv-INFO'!C28*1000,AVERAGEIFS('kasv-PVÄ'!H:H,'kasv-PVÄ'!B:B,'kasv-INFO'!B28)),)</f>
        <v>0</v>
      </c>
      <c r="J28" s="133">
        <f t="shared" si="4"/>
        <v>0</v>
      </c>
      <c r="K28" s="133">
        <f>IFERROR(AVERAGEIFS('kasv-PVÄ'!I:I,'kasv-PVÄ'!B:B,'kasv-INFO'!B28),)</f>
        <v>0</v>
      </c>
      <c r="L28" s="133">
        <f>'kasv-PVÄ'!J26</f>
        <v>0</v>
      </c>
      <c r="M28" s="239">
        <f>CHOOSE(Yleistiedot!$D$28,Q28,R28,S28,T28)</f>
        <v>1226</v>
      </c>
      <c r="N28" s="239">
        <f>CHOOSE(Yleistiedot!$D$28,U28,W28,V28,X28)</f>
        <v>1302</v>
      </c>
      <c r="O28" s="239">
        <f>CHOOSE(Yleistiedot!$D$28,Y28,AA28,Z28,AB28)</f>
        <v>79</v>
      </c>
      <c r="P28" s="240">
        <f t="shared" si="5"/>
        <v>76</v>
      </c>
      <c r="Q28" s="239">
        <v>1226</v>
      </c>
      <c r="R28" s="241">
        <v>1213</v>
      </c>
      <c r="S28" s="224">
        <v>1219</v>
      </c>
      <c r="T28" s="241">
        <v>1207</v>
      </c>
      <c r="U28" s="239">
        <v>1302</v>
      </c>
      <c r="V28" s="241">
        <v>1315</v>
      </c>
      <c r="W28" s="224">
        <v>1295</v>
      </c>
      <c r="X28" s="241">
        <v>1307</v>
      </c>
      <c r="Y28" s="224">
        <v>79</v>
      </c>
      <c r="Z28" s="241">
        <v>79</v>
      </c>
      <c r="AA28" s="224">
        <v>79</v>
      </c>
      <c r="AB28" s="241">
        <v>79</v>
      </c>
    </row>
    <row r="29" spans="1:28" x14ac:dyDescent="0.25">
      <c r="A29" s="129">
        <f t="shared" si="0"/>
        <v>42503</v>
      </c>
      <c r="B29" s="134">
        <v>19</v>
      </c>
      <c r="C29" s="130">
        <f>C28-SUMIFS('kasv-PVÄ'!C:C,'kasv-PVÄ'!B:B,'kasv-INFO'!B29)</f>
        <v>10000</v>
      </c>
      <c r="D29" s="131">
        <f t="shared" si="1"/>
        <v>0</v>
      </c>
      <c r="E29" s="132" t="str">
        <f t="shared" si="2"/>
        <v>1282 - 1362</v>
      </c>
      <c r="F29" s="130">
        <f>IFERROR(AVERAGEIFS('kasv-PVÄ'!D:D,'kasv-PVÄ'!B:B,'kasv-INFO'!B29),)</f>
        <v>0</v>
      </c>
      <c r="G29" s="181">
        <f t="shared" si="3"/>
        <v>84</v>
      </c>
      <c r="H29" s="133">
        <f>IFERROR(IF(SUMIFS('kasv-PVÄ'!E:E,'kasv-PVÄ'!B:B,'kasv-INFO'!B29)&gt;0,SUMIFS('kasv-PVÄ'!E:E,'kasv-PVÄ'!B:B,'kasv-INFO'!B29)/'kasv-INFO'!C29*1000,AVERAGEIFS('kasv-PVÄ'!F:F,'kasv-PVÄ'!B:B,'kasv-INFO'!B29)),)</f>
        <v>0</v>
      </c>
      <c r="I29" s="133">
        <f>IFERROR(IF(SUMIFS('kasv-PVÄ'!G:G,'kasv-PVÄ'!B:B,'kasv-INFO'!B29)&gt;0,SUMIFS('kasv-PVÄ'!G:G,'kasv-PVÄ'!B:B,'kasv-INFO'!B29)/'kasv-INFO'!C29*1000,AVERAGEIFS('kasv-PVÄ'!H:H,'kasv-PVÄ'!B:B,'kasv-INFO'!B29)),)</f>
        <v>0</v>
      </c>
      <c r="J29" s="133">
        <f t="shared" si="4"/>
        <v>0</v>
      </c>
      <c r="K29" s="133">
        <f>IFERROR(AVERAGEIFS('kasv-PVÄ'!I:I,'kasv-PVÄ'!B:B,'kasv-INFO'!B29),)</f>
        <v>0</v>
      </c>
      <c r="L29" s="133">
        <f>'kasv-PVÄ'!J27</f>
        <v>0</v>
      </c>
      <c r="M29" s="239">
        <f>CHOOSE(Yleistiedot!$D$28,Q29,R29,S29,T29)</f>
        <v>1282</v>
      </c>
      <c r="N29" s="239">
        <f>CHOOSE(Yleistiedot!$D$28,U29,W29,V29,X29)</f>
        <v>1362</v>
      </c>
      <c r="O29" s="239">
        <f>CHOOSE(Yleistiedot!$D$28,Y29,AA29,Z29,AB29)</f>
        <v>84</v>
      </c>
      <c r="P29" s="240">
        <f t="shared" si="5"/>
        <v>80</v>
      </c>
      <c r="Q29" s="239">
        <v>1282</v>
      </c>
      <c r="R29" s="241">
        <v>1269</v>
      </c>
      <c r="S29" s="224">
        <v>1276</v>
      </c>
      <c r="T29" s="241">
        <v>1262</v>
      </c>
      <c r="U29" s="239">
        <v>1362</v>
      </c>
      <c r="V29" s="241">
        <v>1375</v>
      </c>
      <c r="W29" s="224">
        <v>1354</v>
      </c>
      <c r="X29" s="241">
        <v>1368</v>
      </c>
      <c r="Y29" s="224">
        <v>84</v>
      </c>
      <c r="Z29" s="241">
        <v>84</v>
      </c>
      <c r="AA29" s="224">
        <v>83</v>
      </c>
      <c r="AB29" s="241">
        <v>84</v>
      </c>
    </row>
    <row r="30" spans="1:28" x14ac:dyDescent="0.25">
      <c r="A30" s="129">
        <f t="shared" si="0"/>
        <v>42510</v>
      </c>
      <c r="B30" s="134">
        <v>20</v>
      </c>
      <c r="C30" s="130">
        <f>C29-SUMIFS('kasv-PVÄ'!C:C,'kasv-PVÄ'!B:B,'kasv-INFO'!B30)</f>
        <v>10000</v>
      </c>
      <c r="D30" s="131">
        <f t="shared" si="1"/>
        <v>0</v>
      </c>
      <c r="E30" s="132" t="str">
        <f t="shared" si="2"/>
        <v>1344 - 1428</v>
      </c>
      <c r="F30" s="130">
        <f>IFERROR(AVERAGEIFS('kasv-PVÄ'!D:D,'kasv-PVÄ'!B:B,'kasv-INFO'!B30),)</f>
        <v>0</v>
      </c>
      <c r="G30" s="181">
        <f t="shared" si="3"/>
        <v>88</v>
      </c>
      <c r="H30" s="133">
        <f>IFERROR(IF(SUMIFS('kasv-PVÄ'!E:E,'kasv-PVÄ'!B:B,'kasv-INFO'!B30)&gt;0,SUMIFS('kasv-PVÄ'!E:E,'kasv-PVÄ'!B:B,'kasv-INFO'!B30)/'kasv-INFO'!C30*1000,AVERAGEIFS('kasv-PVÄ'!F:F,'kasv-PVÄ'!B:B,'kasv-INFO'!B30)),)</f>
        <v>0</v>
      </c>
      <c r="I30" s="133">
        <f>IFERROR(IF(SUMIFS('kasv-PVÄ'!G:G,'kasv-PVÄ'!B:B,'kasv-INFO'!B30)&gt;0,SUMIFS('kasv-PVÄ'!G:G,'kasv-PVÄ'!B:B,'kasv-INFO'!B30)/'kasv-INFO'!C30*1000,AVERAGEIFS('kasv-PVÄ'!H:H,'kasv-PVÄ'!B:B,'kasv-INFO'!B30)),)</f>
        <v>0</v>
      </c>
      <c r="J30" s="133">
        <f t="shared" si="4"/>
        <v>0</v>
      </c>
      <c r="K30" s="133">
        <f>IFERROR(AVERAGEIFS('kasv-PVÄ'!I:I,'kasv-PVÄ'!B:B,'kasv-INFO'!B30),)</f>
        <v>0</v>
      </c>
      <c r="L30" s="133">
        <f>'kasv-PVÄ'!J28</f>
        <v>0</v>
      </c>
      <c r="M30" s="239">
        <f>CHOOSE(Yleistiedot!$D$28,Q30,R30,S30,T30)</f>
        <v>1344</v>
      </c>
      <c r="N30" s="239">
        <f>CHOOSE(Yleistiedot!$D$28,U30,W30,V30,X30)</f>
        <v>1428</v>
      </c>
      <c r="O30" s="239">
        <f>CHOOSE(Yleistiedot!$D$28,Y30,AA30,Z30,AB30)</f>
        <v>88</v>
      </c>
      <c r="P30" s="240">
        <f t="shared" si="5"/>
        <v>84</v>
      </c>
      <c r="Q30" s="240">
        <v>1344</v>
      </c>
      <c r="R30" s="241">
        <v>1331</v>
      </c>
      <c r="S30" s="224">
        <v>1334</v>
      </c>
      <c r="T30" s="241">
        <v>1320</v>
      </c>
      <c r="U30" s="239">
        <v>1428</v>
      </c>
      <c r="V30" s="241">
        <v>1441</v>
      </c>
      <c r="W30" s="224">
        <v>1416</v>
      </c>
      <c r="X30" s="241">
        <v>1430</v>
      </c>
      <c r="Y30" s="224">
        <v>88</v>
      </c>
      <c r="Z30" s="241">
        <v>88</v>
      </c>
      <c r="AA30" s="224">
        <v>88</v>
      </c>
      <c r="AB30" s="241">
        <v>88</v>
      </c>
    </row>
    <row r="31" spans="1:28" x14ac:dyDescent="0.25">
      <c r="A31" s="129">
        <f t="shared" si="0"/>
        <v>42517</v>
      </c>
      <c r="B31" s="134">
        <v>21</v>
      </c>
      <c r="C31" s="130">
        <f>C30-SUMIFS('kasv-PVÄ'!C:C,'kasv-PVÄ'!B:B,'kasv-INFO'!B31)</f>
        <v>10000</v>
      </c>
      <c r="D31" s="131">
        <f t="shared" si="1"/>
        <v>0</v>
      </c>
      <c r="E31" s="132" t="str">
        <f t="shared" si="2"/>
        <v>1407 - 1494</v>
      </c>
      <c r="F31" s="130">
        <f>IFERROR(AVERAGEIFS('kasv-PVÄ'!D:D,'kasv-PVÄ'!B:B,'kasv-INFO'!B31),)</f>
        <v>0</v>
      </c>
      <c r="G31" s="180"/>
      <c r="H31" s="133">
        <f>IFERROR(IF(SUMIFS('kasv-PVÄ'!E:E,'kasv-PVÄ'!B:B,'kasv-INFO'!B31)&gt;0,SUMIFS('kasv-PVÄ'!E:E,'kasv-PVÄ'!B:B,'kasv-INFO'!B31)/'kasv-INFO'!C31*1000,AVERAGEIFS('kasv-PVÄ'!F:F,'kasv-PVÄ'!B:B,'kasv-INFO'!B31)),)</f>
        <v>0</v>
      </c>
      <c r="I31" s="133">
        <f>IFERROR(IF(SUMIFS('kasv-PVÄ'!G:G,'kasv-PVÄ'!B:B,'kasv-INFO'!B31)&gt;0,SUMIFS('kasv-PVÄ'!G:G,'kasv-PVÄ'!B:B,'kasv-INFO'!B31)/'kasv-INFO'!C31*1000,AVERAGEIFS('kasv-PVÄ'!H:H,'kasv-PVÄ'!B:B,'kasv-INFO'!B31)),)</f>
        <v>0</v>
      </c>
      <c r="J31" s="133">
        <f t="shared" si="4"/>
        <v>0</v>
      </c>
      <c r="K31" s="133">
        <f>IFERROR(AVERAGEIFS('kasv-PVÄ'!I:I,'kasv-PVÄ'!B:B,'kasv-INFO'!B31),)</f>
        <v>0</v>
      </c>
      <c r="L31" s="133">
        <f>'kasv-PVÄ'!J29</f>
        <v>0</v>
      </c>
      <c r="M31" s="239">
        <f>CHOOSE(Yleistiedot!$D$28,Q31,R31,S31,T31)</f>
        <v>1407</v>
      </c>
      <c r="N31" s="239">
        <f>CHOOSE(Yleistiedot!$D$28,U31,W31,V31,X31)</f>
        <v>1494</v>
      </c>
      <c r="O31" s="239">
        <f>CHOOSE(Yleistiedot!$D$28,Y31,AA31,Z31,AB31)</f>
        <v>0</v>
      </c>
      <c r="P31" s="240">
        <f t="shared" si="5"/>
        <v>87</v>
      </c>
      <c r="Q31" s="240">
        <v>1407</v>
      </c>
      <c r="R31" s="241">
        <v>1392</v>
      </c>
      <c r="S31" s="224">
        <v>1384</v>
      </c>
      <c r="T31" s="241">
        <v>1370</v>
      </c>
      <c r="U31" s="239">
        <v>1494</v>
      </c>
      <c r="V31" s="241">
        <v>1508</v>
      </c>
      <c r="W31" s="224">
        <v>1470</v>
      </c>
      <c r="X31" s="241">
        <v>1484</v>
      </c>
      <c r="Y31" s="224"/>
      <c r="AA31" s="224"/>
    </row>
    <row r="32" spans="1:28" x14ac:dyDescent="0.25">
      <c r="A32" s="129">
        <f t="shared" si="0"/>
        <v>42524</v>
      </c>
      <c r="B32" s="134">
        <v>22</v>
      </c>
      <c r="C32" s="130">
        <f>C31-SUMIFS('kasv-PVÄ'!C:C,'kasv-PVÄ'!B:B,'kasv-INFO'!B32)</f>
        <v>10000</v>
      </c>
      <c r="D32" s="131">
        <f t="shared" si="1"/>
        <v>0</v>
      </c>
      <c r="E32" s="132" t="str">
        <f t="shared" si="2"/>
        <v>1455 - 1545</v>
      </c>
      <c r="F32" s="130">
        <f>IFERROR(AVERAGEIFS('kasv-PVÄ'!D:D,'kasv-PVÄ'!B:B,'kasv-INFO'!B32),)</f>
        <v>0</v>
      </c>
      <c r="G32" s="180"/>
      <c r="H32" s="133">
        <f>IFERROR(IF(SUMIFS('kasv-PVÄ'!E:E,'kasv-PVÄ'!B:B,'kasv-INFO'!B32)&gt;0,SUMIFS('kasv-PVÄ'!E:E,'kasv-PVÄ'!B:B,'kasv-INFO'!B32)/'kasv-INFO'!C32*1000,AVERAGEIFS('kasv-PVÄ'!F:F,'kasv-PVÄ'!B:B,'kasv-INFO'!B32)),)</f>
        <v>0</v>
      </c>
      <c r="I32" s="133">
        <f>IFERROR(IF(SUMIFS('kasv-PVÄ'!G:G,'kasv-PVÄ'!B:B,'kasv-INFO'!B32)&gt;0,SUMIFS('kasv-PVÄ'!G:G,'kasv-PVÄ'!B:B,'kasv-INFO'!B32)/'kasv-INFO'!C32*1000,AVERAGEIFS('kasv-PVÄ'!H:H,'kasv-PVÄ'!B:B,'kasv-INFO'!B32)),)</f>
        <v>0</v>
      </c>
      <c r="J32" s="133">
        <f t="shared" si="4"/>
        <v>0</v>
      </c>
      <c r="K32" s="133">
        <f>IFERROR(AVERAGEIFS('kasv-PVÄ'!I:I,'kasv-PVÄ'!B:B,'kasv-INFO'!B32),)</f>
        <v>0</v>
      </c>
      <c r="L32" s="133">
        <f>'kasv-PVÄ'!J30</f>
        <v>0</v>
      </c>
      <c r="M32" s="239">
        <f>CHOOSE(Yleistiedot!$D$28,Q32,R32,S32,T32)</f>
        <v>1455</v>
      </c>
      <c r="N32" s="239">
        <f>CHOOSE(Yleistiedot!$D$28,U32,W32,V32,X32)</f>
        <v>1545</v>
      </c>
      <c r="O32" s="239">
        <f>CHOOSE(Yleistiedot!$D$28,Y32,AA32,Z32,AB32)</f>
        <v>0</v>
      </c>
      <c r="P32" s="240">
        <f t="shared" si="5"/>
        <v>90</v>
      </c>
      <c r="Q32" s="240">
        <v>1455</v>
      </c>
      <c r="R32" s="241">
        <v>1440</v>
      </c>
      <c r="S32" s="224">
        <v>1430</v>
      </c>
      <c r="T32" s="241">
        <v>1415</v>
      </c>
      <c r="U32" s="239">
        <v>1545</v>
      </c>
      <c r="V32" s="241">
        <v>1560</v>
      </c>
      <c r="W32" s="224">
        <v>1518</v>
      </c>
      <c r="X32" s="241">
        <v>1533</v>
      </c>
      <c r="Y32" s="224"/>
      <c r="AA32" s="224"/>
    </row>
    <row r="33" spans="1:27" x14ac:dyDescent="0.25">
      <c r="A33" s="129">
        <f t="shared" si="0"/>
        <v>42531</v>
      </c>
      <c r="B33" s="134">
        <v>23</v>
      </c>
      <c r="C33" s="130">
        <f>C32-SUMIFS('kasv-PVÄ'!C:C,'kasv-PVÄ'!B:B,'kasv-INFO'!B33)</f>
        <v>10000</v>
      </c>
      <c r="D33" s="131">
        <f t="shared" si="1"/>
        <v>0</v>
      </c>
      <c r="E33" s="132" t="str">
        <f t="shared" si="2"/>
        <v>1494 - 1586</v>
      </c>
      <c r="F33" s="130">
        <f>IFERROR(AVERAGEIFS('kasv-PVÄ'!D:D,'kasv-PVÄ'!B:B,'kasv-INFO'!B33),)</f>
        <v>0</v>
      </c>
      <c r="G33" s="180"/>
      <c r="H33" s="133">
        <f>IFERROR(IF(SUMIFS('kasv-PVÄ'!E:E,'kasv-PVÄ'!B:B,'kasv-INFO'!B33)&gt;0,SUMIFS('kasv-PVÄ'!E:E,'kasv-PVÄ'!B:B,'kasv-INFO'!B33)/'kasv-INFO'!C33*1000,AVERAGEIFS('kasv-PVÄ'!F:F,'kasv-PVÄ'!B:B,'kasv-INFO'!B33)),)</f>
        <v>0</v>
      </c>
      <c r="I33" s="133">
        <f>IFERROR(IF(SUMIFS('kasv-PVÄ'!G:G,'kasv-PVÄ'!B:B,'kasv-INFO'!B33)&gt;0,SUMIFS('kasv-PVÄ'!G:G,'kasv-PVÄ'!B:B,'kasv-INFO'!B33)/'kasv-INFO'!C33*1000,AVERAGEIFS('kasv-PVÄ'!H:H,'kasv-PVÄ'!B:B,'kasv-INFO'!B33)),)</f>
        <v>0</v>
      </c>
      <c r="J33" s="133">
        <f t="shared" si="4"/>
        <v>0</v>
      </c>
      <c r="K33" s="133">
        <f>IFERROR(AVERAGEIFS('kasv-PVÄ'!I:I,'kasv-PVÄ'!B:B,'kasv-INFO'!B33),)</f>
        <v>0</v>
      </c>
      <c r="L33" s="133">
        <f>'kasv-PVÄ'!J31</f>
        <v>0</v>
      </c>
      <c r="M33" s="239">
        <f>CHOOSE(Yleistiedot!$D$28,Q33,R33,S33,T33)</f>
        <v>1494</v>
      </c>
      <c r="N33" s="239">
        <f>CHOOSE(Yleistiedot!$D$28,U33,W33,V33,X33)</f>
        <v>1586</v>
      </c>
      <c r="O33" s="239">
        <f>CHOOSE(Yleistiedot!$D$28,Y33,AA33,Z33,AB33)</f>
        <v>0</v>
      </c>
      <c r="P33" s="240">
        <f t="shared" si="5"/>
        <v>92</v>
      </c>
      <c r="Q33" s="240">
        <v>1494</v>
      </c>
      <c r="R33" s="241">
        <v>1478</v>
      </c>
      <c r="S33" s="224">
        <v>1471</v>
      </c>
      <c r="T33" s="241">
        <v>1455</v>
      </c>
      <c r="U33" s="240">
        <v>1586</v>
      </c>
      <c r="V33" s="241">
        <v>1602</v>
      </c>
      <c r="W33" s="224">
        <v>1561</v>
      </c>
      <c r="X33" s="241">
        <v>1577</v>
      </c>
      <c r="Y33" s="224"/>
      <c r="AA33" s="224"/>
    </row>
    <row r="34" spans="1:27" x14ac:dyDescent="0.25">
      <c r="A34" s="129">
        <f t="shared" si="0"/>
        <v>42538</v>
      </c>
      <c r="B34" s="134">
        <v>24</v>
      </c>
      <c r="C34" s="130">
        <f>C33-SUMIFS('kasv-PVÄ'!C:C,'kasv-PVÄ'!B:B,'kasv-INFO'!B34)</f>
        <v>10000</v>
      </c>
      <c r="D34" s="131">
        <f t="shared" si="1"/>
        <v>0</v>
      </c>
      <c r="E34" s="132" t="str">
        <f t="shared" si="2"/>
        <v>1533 - 1627</v>
      </c>
      <c r="F34" s="130">
        <f>IFERROR(AVERAGEIFS('kasv-PVÄ'!D:D,'kasv-PVÄ'!B:B,'kasv-INFO'!B34),)</f>
        <v>0</v>
      </c>
      <c r="G34" s="180"/>
      <c r="H34" s="133">
        <f>IFERROR(IF(SUMIFS('kasv-PVÄ'!E:E,'kasv-PVÄ'!B:B,'kasv-INFO'!B34)&gt;0,SUMIFS('kasv-PVÄ'!E:E,'kasv-PVÄ'!B:B,'kasv-INFO'!B34)/'kasv-INFO'!C34*1000,AVERAGEIFS('kasv-PVÄ'!F:F,'kasv-PVÄ'!B:B,'kasv-INFO'!B34)),)</f>
        <v>0</v>
      </c>
      <c r="I34" s="133">
        <f>IFERROR(IF(SUMIFS('kasv-PVÄ'!G:G,'kasv-PVÄ'!B:B,'kasv-INFO'!B34)&gt;0,SUMIFS('kasv-PVÄ'!G:G,'kasv-PVÄ'!B:B,'kasv-INFO'!B34)/'kasv-INFO'!C34*1000,AVERAGEIFS('kasv-PVÄ'!H:H,'kasv-PVÄ'!B:B,'kasv-INFO'!B34)),)</f>
        <v>0</v>
      </c>
      <c r="J34" s="133">
        <f t="shared" si="4"/>
        <v>0</v>
      </c>
      <c r="K34" s="133">
        <f>IFERROR(AVERAGEIFS('kasv-PVÄ'!I:I,'kasv-PVÄ'!B:B,'kasv-INFO'!B34),)</f>
        <v>0</v>
      </c>
      <c r="L34" s="133">
        <f>'kasv-PVÄ'!J32</f>
        <v>0</v>
      </c>
      <c r="M34" s="239">
        <f>CHOOSE(Yleistiedot!$D$28,Q34,R34,S34,T34)</f>
        <v>1533</v>
      </c>
      <c r="N34" s="239">
        <f>CHOOSE(Yleistiedot!$D$28,U34,W34,V34,X34)</f>
        <v>1627</v>
      </c>
      <c r="O34" s="239">
        <f>CHOOSE(Yleistiedot!$D$28,Y34,AA34,Z34,AB34)</f>
        <v>0</v>
      </c>
      <c r="P34" s="240">
        <f t="shared" si="5"/>
        <v>94</v>
      </c>
      <c r="Q34" s="240">
        <v>1533</v>
      </c>
      <c r="R34" s="241">
        <v>1517</v>
      </c>
      <c r="S34" s="224">
        <v>1506</v>
      </c>
      <c r="T34" s="241">
        <v>1491</v>
      </c>
      <c r="U34" s="240">
        <v>1627</v>
      </c>
      <c r="V34" s="241">
        <v>1643</v>
      </c>
      <c r="W34" s="224">
        <v>1600</v>
      </c>
      <c r="X34" s="241">
        <v>1615</v>
      </c>
      <c r="Y34" s="224"/>
      <c r="AA34" s="224"/>
    </row>
    <row r="35" spans="1:27" x14ac:dyDescent="0.25">
      <c r="A35" s="186">
        <f t="shared" si="0"/>
        <v>42545</v>
      </c>
      <c r="B35" s="135">
        <v>25</v>
      </c>
      <c r="C35" s="187">
        <f>C34-SUMIFS('kasv-PVÄ'!C:C,'kasv-PVÄ'!B:B,'kasv-INFO'!B35)</f>
        <v>10000</v>
      </c>
      <c r="D35" s="188">
        <f t="shared" si="1"/>
        <v>0</v>
      </c>
      <c r="E35" s="136" t="str">
        <f t="shared" si="2"/>
        <v>1562 - 1658</v>
      </c>
      <c r="F35" s="187">
        <f>IFERROR(AVERAGEIFS('kasv-PVÄ'!D:D,'kasv-PVÄ'!B:B,'kasv-INFO'!B35),)</f>
        <v>0</v>
      </c>
      <c r="G35" s="182"/>
      <c r="H35" s="137">
        <f>IFERROR(IF(SUMIFS('kasv-PVÄ'!E:E,'kasv-PVÄ'!B:B,'kasv-INFO'!B35)&gt;0,SUMIFS('kasv-PVÄ'!E:E,'kasv-PVÄ'!B:B,'kasv-INFO'!B35)/'kasv-INFO'!C35*1000,AVERAGEIFS('kasv-PVÄ'!F:F,'kasv-PVÄ'!B:B,'kasv-INFO'!B35)),)</f>
        <v>0</v>
      </c>
      <c r="I35" s="137">
        <f>IFERROR(IF(SUMIFS('kasv-PVÄ'!G:G,'kasv-PVÄ'!B:B,'kasv-INFO'!B35)&gt;0,SUMIFS('kasv-PVÄ'!G:G,'kasv-PVÄ'!B:B,'kasv-INFO'!B35)/'kasv-INFO'!C35*1000,AVERAGEIFS('kasv-PVÄ'!H:H,'kasv-PVÄ'!B:B,'kasv-INFO'!B35)),)</f>
        <v>0</v>
      </c>
      <c r="J35" s="137">
        <f t="shared" si="4"/>
        <v>0</v>
      </c>
      <c r="K35" s="137">
        <f>IFERROR(AVERAGEIFS('kasv-PVÄ'!I:I,'kasv-PVÄ'!B:B,'kasv-INFO'!B35),)</f>
        <v>0</v>
      </c>
      <c r="L35" s="137">
        <f>'kasv-PVÄ'!J33</f>
        <v>0</v>
      </c>
      <c r="M35" s="239">
        <f>CHOOSE(Yleistiedot!$D$28,Q35,R35,S35,T35)</f>
        <v>1562</v>
      </c>
      <c r="N35" s="239">
        <f>CHOOSE(Yleistiedot!$D$28,U35,W35,V35,X35)</f>
        <v>1658</v>
      </c>
      <c r="O35" s="239">
        <f>CHOOSE(Yleistiedot!$D$28,Y35,AA35,Z35,AB35)</f>
        <v>0</v>
      </c>
      <c r="P35" s="240">
        <f>N35-M35</f>
        <v>96</v>
      </c>
      <c r="Q35" s="240">
        <v>1562</v>
      </c>
      <c r="R35" s="241">
        <v>1546</v>
      </c>
      <c r="S35" s="224">
        <v>1537</v>
      </c>
      <c r="T35" s="241">
        <v>1522</v>
      </c>
      <c r="U35" s="240">
        <v>1658</v>
      </c>
      <c r="V35" s="241">
        <v>1674</v>
      </c>
      <c r="W35" s="224">
        <v>1633</v>
      </c>
      <c r="X35" s="241">
        <v>1648</v>
      </c>
      <c r="Y35" s="224"/>
      <c r="AA35" s="224"/>
    </row>
    <row r="36" spans="1:27" x14ac:dyDescent="0.25">
      <c r="L36" s="13">
        <v>1858</v>
      </c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Y36" s="224"/>
      <c r="Z36" s="224"/>
      <c r="AA36" s="224"/>
    </row>
    <row r="37" spans="1:27" x14ac:dyDescent="0.25"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Y37" s="224"/>
      <c r="Z37" s="224"/>
      <c r="AA37" s="224"/>
    </row>
    <row r="38" spans="1:27" x14ac:dyDescent="0.25"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Y38" s="224"/>
      <c r="Z38" s="224"/>
      <c r="AA38" s="224"/>
    </row>
    <row r="39" spans="1:27" x14ac:dyDescent="0.25"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Y39" s="224"/>
      <c r="Z39" s="224"/>
      <c r="AA39" s="224"/>
    </row>
    <row r="40" spans="1:27" x14ac:dyDescent="0.25"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Y40" s="224"/>
      <c r="Z40" s="224"/>
      <c r="AA40" s="224"/>
    </row>
  </sheetData>
  <sheetProtection algorithmName="SHA-512" hashValue="z7NYrXnCRXq/qPDnFshhG+ZlY2ccnQihU/0bOfuFlBxvvkEIWDgvikBrht8dnpkedcQZadLWEIJaOlhcC1nP2A==" saltValue="pmBdkHyxTgN9pmCUXcM9iw==" spinCount="100000" sheet="1" selectLockedCells="1"/>
  <mergeCells count="7">
    <mergeCell ref="C7:K7"/>
    <mergeCell ref="J3:K3"/>
    <mergeCell ref="J4:K4"/>
    <mergeCell ref="J5:K5"/>
    <mergeCell ref="C3:E3"/>
    <mergeCell ref="C4:E4"/>
    <mergeCell ref="C5:E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5">
    <tabColor theme="7"/>
  </sheetPr>
  <dimension ref="A1:AO971"/>
  <sheetViews>
    <sheetView zoomScaleNormal="100" workbookViewId="0">
      <pane xSplit="2" ySplit="2" topLeftCell="C3" activePane="bottomRight" state="frozen"/>
      <selection activeCell="N38" sqref="N38"/>
      <selection pane="topRight" activeCell="N38" sqref="N38"/>
      <selection pane="bottomLeft" activeCell="N38" sqref="N38"/>
      <selection pane="bottomRight" activeCell="L32" sqref="L32"/>
    </sheetView>
  </sheetViews>
  <sheetFormatPr defaultColWidth="11.5703125" defaultRowHeight="15" x14ac:dyDescent="0.25"/>
  <cols>
    <col min="1" max="1" width="8.140625" style="2" bestFit="1" customWidth="1"/>
    <col min="2" max="2" width="4.85546875" style="4" customWidth="1"/>
    <col min="3" max="3" width="10.42578125" style="1" customWidth="1"/>
    <col min="4" max="4" width="9" style="1" bestFit="1" customWidth="1"/>
    <col min="5" max="5" width="9.5703125" style="4" customWidth="1"/>
    <col min="6" max="6" width="9.5703125" style="3" customWidth="1"/>
    <col min="7" max="8" width="9.5703125" style="4" customWidth="1"/>
    <col min="9" max="9" width="6" style="4" bestFit="1" customWidth="1"/>
    <col min="10" max="10" width="9.140625" style="5" bestFit="1" customWidth="1"/>
    <col min="11" max="11" width="6.28515625" style="5" bestFit="1" customWidth="1"/>
    <col min="12" max="12" width="8.42578125" style="47" bestFit="1" customWidth="1"/>
    <col min="13" max="13" width="9.7109375" style="5" bestFit="1" customWidth="1"/>
    <col min="14" max="14" width="7.5703125" style="5" customWidth="1"/>
    <col min="15" max="15" width="43.42578125" style="1" customWidth="1"/>
    <col min="16" max="18" width="7.140625" style="249" customWidth="1"/>
    <col min="19" max="22" width="7.140625" style="193" customWidth="1"/>
    <col min="23" max="23" width="7.140625" style="55" customWidth="1"/>
    <col min="24" max="24" width="10.85546875" style="55" bestFit="1" customWidth="1"/>
    <col min="25" max="25" width="12" style="55" bestFit="1" customWidth="1"/>
    <col min="26" max="35" width="7.140625" style="55" customWidth="1"/>
    <col min="36" max="37" width="11.5703125" style="55"/>
    <col min="38" max="41" width="11.5703125" style="184"/>
    <col min="42" max="16384" width="11.5703125" style="1"/>
  </cols>
  <sheetData>
    <row r="1" spans="1:37" x14ac:dyDescent="0.25">
      <c r="A1" s="271" t="s">
        <v>3</v>
      </c>
      <c r="B1" s="271" t="s">
        <v>83</v>
      </c>
      <c r="C1" s="280" t="s">
        <v>74</v>
      </c>
      <c r="D1" s="280" t="s">
        <v>78</v>
      </c>
      <c r="E1" s="281" t="s">
        <v>75</v>
      </c>
      <c r="F1" s="281"/>
      <c r="G1" s="281"/>
      <c r="H1" s="281"/>
      <c r="I1" s="281"/>
      <c r="J1" s="280" t="s">
        <v>17</v>
      </c>
      <c r="K1" s="280" t="s">
        <v>73</v>
      </c>
      <c r="L1" s="271" t="s">
        <v>76</v>
      </c>
      <c r="M1" s="271" t="s">
        <v>77</v>
      </c>
      <c r="N1" s="271" t="s">
        <v>84</v>
      </c>
      <c r="O1" s="280" t="s">
        <v>10</v>
      </c>
      <c r="P1" s="193"/>
      <c r="Q1" s="193"/>
      <c r="R1" s="193"/>
      <c r="S1" s="249"/>
      <c r="T1" s="249"/>
      <c r="U1" s="249"/>
    </row>
    <row r="2" spans="1:37" ht="28.9" customHeight="1" x14ac:dyDescent="0.25">
      <c r="A2" s="271"/>
      <c r="B2" s="271"/>
      <c r="C2" s="280"/>
      <c r="D2" s="280"/>
      <c r="E2" s="171" t="s">
        <v>79</v>
      </c>
      <c r="F2" s="171" t="s">
        <v>80</v>
      </c>
      <c r="G2" s="171" t="s">
        <v>81</v>
      </c>
      <c r="H2" s="172"/>
      <c r="I2" s="41" t="s">
        <v>82</v>
      </c>
      <c r="J2" s="280"/>
      <c r="K2" s="280"/>
      <c r="L2" s="271"/>
      <c r="M2" s="271"/>
      <c r="N2" s="271"/>
      <c r="O2" s="280"/>
      <c r="P2" s="250" t="s">
        <v>86</v>
      </c>
      <c r="Q2" s="250" t="s">
        <v>87</v>
      </c>
      <c r="R2" s="250" t="s">
        <v>88</v>
      </c>
      <c r="S2" s="251" t="s">
        <v>85</v>
      </c>
      <c r="T2" s="251" t="s">
        <v>90</v>
      </c>
      <c r="U2" s="251" t="s">
        <v>94</v>
      </c>
      <c r="V2" s="250" t="s">
        <v>91</v>
      </c>
      <c r="W2" s="224" t="s">
        <v>93</v>
      </c>
      <c r="X2" s="224" t="s">
        <v>95</v>
      </c>
      <c r="Y2" s="224" t="s">
        <v>89</v>
      </c>
      <c r="Z2" s="224" t="s">
        <v>128</v>
      </c>
      <c r="AA2" s="224" t="s">
        <v>115</v>
      </c>
      <c r="AB2" s="224" t="s">
        <v>117</v>
      </c>
      <c r="AC2" s="224" t="s">
        <v>116</v>
      </c>
      <c r="AD2" s="224" t="s">
        <v>118</v>
      </c>
      <c r="AE2" s="224" t="s">
        <v>130</v>
      </c>
      <c r="AF2" s="224" t="s">
        <v>136</v>
      </c>
      <c r="AG2" s="224" t="s">
        <v>135</v>
      </c>
      <c r="AH2" s="224" t="s">
        <v>132</v>
      </c>
      <c r="AI2" s="224" t="s">
        <v>131</v>
      </c>
      <c r="AJ2" s="224" t="s">
        <v>134</v>
      </c>
      <c r="AK2" s="224" t="s">
        <v>133</v>
      </c>
    </row>
    <row r="3" spans="1:37" x14ac:dyDescent="0.25">
      <c r="A3" s="169">
        <f>Yleistiedot!B17</f>
        <v>42489</v>
      </c>
      <c r="B3" s="23">
        <f>ROUNDUP((A3-Yleistiedot!$B$4)/7,0)</f>
        <v>17</v>
      </c>
      <c r="C3" s="16"/>
      <c r="D3" s="25"/>
      <c r="E3" s="25"/>
      <c r="F3" s="25"/>
      <c r="G3" s="25"/>
      <c r="H3" s="25"/>
      <c r="I3" s="65">
        <f>SUM(E3:H3)</f>
        <v>0</v>
      </c>
      <c r="J3" s="26"/>
      <c r="K3" s="25"/>
      <c r="L3" s="16"/>
      <c r="M3" s="16"/>
      <c r="N3" s="170"/>
      <c r="O3" s="29"/>
      <c r="P3" s="252">
        <f>Yleistiedot!B18-C3</f>
        <v>9990</v>
      </c>
      <c r="Q3" s="253">
        <f>D3/P3*100</f>
        <v>0</v>
      </c>
      <c r="R3" s="253">
        <f>I3/P3*100</f>
        <v>0</v>
      </c>
      <c r="S3" s="251">
        <f>SUMIFS('tuot-rehukirjanpito'!D:D,'tuot-rehukirjanpito'!A:A,"&lt;="&amp;A3)</f>
        <v>0</v>
      </c>
      <c r="T3" s="254">
        <f>IF(L3&gt;0,P3*L3/1000,110*P3/1000)</f>
        <v>1098.9000000000001</v>
      </c>
      <c r="U3" s="254">
        <f>IFERROR(AVERAGEIF(T3,"&lt;&gt;0"),0)</f>
        <v>1098.9000000000001</v>
      </c>
      <c r="V3" s="252">
        <f>IF(SUMIFS('tuot-rehukirjanpito'!E:E,'tuot-rehukirjanpito'!A:A,'tuot-PVÄ'!A3)&gt;0,SUMIFS('tuot-rehukirjanpito'!E:E,'tuot-rehukirjanpito'!A:A,'tuot-PVÄ'!A3),S3-T3)</f>
        <v>-1098.9000000000001</v>
      </c>
      <c r="W3" s="255">
        <f>IFERROR(V3/T3,"")</f>
        <v>-1</v>
      </c>
      <c r="X3" s="256" t="str">
        <f>IF(S3&lt;&gt;0,A3,"")</f>
        <v/>
      </c>
      <c r="Y3" s="256" t="str">
        <f>IF(S3&lt;&gt;0,ROUND(A3+W3,0),"")</f>
        <v/>
      </c>
      <c r="Z3" s="224" t="str">
        <f>IF(IFERROR(INDEX('tuot-rehukirjanpito'!I:I,MATCH(A3,'tuot-rehukirjanpito'!G:G,0)),)=0,"",INDEX('tuot-rehukirjanpito'!I:I,MATCH(A3,'tuot-rehukirjanpito'!G:G,0)))</f>
        <v/>
      </c>
      <c r="AA3" s="224">
        <f>SUMIFS('tuot-INFO'!$K$10:$K$115,'tuot-INFO'!$A$10:$A$115,'tuot-PVÄ'!B3)</f>
        <v>0</v>
      </c>
      <c r="AB3" s="224">
        <f>SUMIFS('rehu-vesi-INFO'!$R:$R,'rehu-vesi-INFO'!$A:$A,'tuot-PVÄ'!B3)</f>
        <v>1178</v>
      </c>
      <c r="AC3" s="224">
        <f>SUMIFS('rehu-vesi-INFO'!$S:$S,'rehu-vesi-INFO'!$A:$A,'tuot-PVÄ'!B3)</f>
        <v>1250</v>
      </c>
      <c r="AD3" s="224">
        <f>AC3-AB3</f>
        <v>72</v>
      </c>
      <c r="AE3" s="224">
        <f>K3/10</f>
        <v>0</v>
      </c>
      <c r="AF3" s="224">
        <f>AB3/10</f>
        <v>117.8</v>
      </c>
      <c r="AG3" s="224">
        <f>AD3/10</f>
        <v>7.2</v>
      </c>
      <c r="AH3" s="257">
        <f>L3</f>
        <v>0</v>
      </c>
      <c r="AI3" s="258">
        <f>Q3+R3</f>
        <v>0</v>
      </c>
      <c r="AJ3" s="55">
        <f>SUMIFS('tuot-INFO'!W:W,'tuot-INFO'!$A:$A,'tuot-PVÄ'!B3)</f>
        <v>0</v>
      </c>
      <c r="AK3" s="55">
        <f>SUMIFS('tuot-INFO'!X:X,'tuot-INFO'!$A:$A,'tuot-PVÄ'!B3)</f>
        <v>0</v>
      </c>
    </row>
    <row r="4" spans="1:37" x14ac:dyDescent="0.25">
      <c r="A4" s="169">
        <f>A3+1</f>
        <v>42490</v>
      </c>
      <c r="B4" s="23">
        <f>ROUNDUP((A4-Yleistiedot!$B$4)/7,0)</f>
        <v>18</v>
      </c>
      <c r="C4" s="16"/>
      <c r="D4" s="25"/>
      <c r="E4" s="25"/>
      <c r="F4" s="25"/>
      <c r="G4" s="25"/>
      <c r="H4" s="25"/>
      <c r="I4" s="65">
        <f t="shared" ref="I4:I67" si="0">SUM(E4:H4)</f>
        <v>0</v>
      </c>
      <c r="J4" s="26"/>
      <c r="K4" s="25"/>
      <c r="L4" s="16"/>
      <c r="M4" s="16"/>
      <c r="N4" s="25"/>
      <c r="O4" s="30"/>
      <c r="P4" s="252">
        <f>P3-C4</f>
        <v>9990</v>
      </c>
      <c r="Q4" s="253">
        <f t="shared" ref="Q4:Q13" si="1">D4/P4*100</f>
        <v>0</v>
      </c>
      <c r="R4" s="253">
        <f t="shared" ref="R4:R13" si="2">I4/P4*100</f>
        <v>0</v>
      </c>
      <c r="S4" s="251">
        <f>SUMIFS('tuot-rehukirjanpito'!D:D,'tuot-rehukirjanpito'!A:A,A4)</f>
        <v>0</v>
      </c>
      <c r="T4" s="254">
        <f>IF(L4&gt;0,P4*L4/1000,T3)</f>
        <v>1098.9000000000001</v>
      </c>
      <c r="U4" s="254">
        <f>IFERROR(AVERAGEIF(T3:T4,"&lt;&gt;0"),0)</f>
        <v>1098.9000000000001</v>
      </c>
      <c r="V4" s="252">
        <f>IF(SUMIFS('tuot-rehukirjanpito'!E:E,'tuot-rehukirjanpito'!A:A,'tuot-PVÄ'!A4)&gt;0,SUMIFS('tuot-rehukirjanpito'!E:E,'tuot-rehukirjanpito'!A:A,'tuot-PVÄ'!A4),V3+S4-T4)</f>
        <v>-2197.8000000000002</v>
      </c>
      <c r="W4" s="255">
        <f t="shared" ref="W4:W59" si="3">IFERROR(V4/T4,"")</f>
        <v>-2</v>
      </c>
      <c r="X4" s="256" t="str">
        <f>IF(S4&lt;&gt;0,ROUND(A4+W3,0),"")</f>
        <v/>
      </c>
      <c r="Y4" s="256" t="str">
        <f>IF(S4&lt;&gt;0,ROUND(A4+W4,0),"")</f>
        <v/>
      </c>
      <c r="Z4" s="224" t="str">
        <f>IF(IFERROR(INDEX('tuot-rehukirjanpito'!I:I,MATCH(A4,'tuot-rehukirjanpito'!G:G,0)),)=0,"",INDEX('tuot-rehukirjanpito'!I:I,MATCH(A4,'tuot-rehukirjanpito'!G:G,0)))</f>
        <v/>
      </c>
      <c r="AA4" s="224">
        <f>SUMIFS('tuot-INFO'!$K$10:$K$115,'tuot-INFO'!$A$10:$A$115,'tuot-PVÄ'!B4)</f>
        <v>0</v>
      </c>
      <c r="AB4" s="224">
        <f>SUMIFS('rehu-vesi-INFO'!$R:$R,'rehu-vesi-INFO'!$A:$A,'tuot-PVÄ'!B4)</f>
        <v>1226</v>
      </c>
      <c r="AC4" s="224">
        <f>SUMIFS('rehu-vesi-INFO'!$S:$S,'rehu-vesi-INFO'!$A:$A,'tuot-PVÄ'!B4)</f>
        <v>1302</v>
      </c>
      <c r="AD4" s="224">
        <f t="shared" ref="AD4:AD67" si="4">AC4-AB4</f>
        <v>76</v>
      </c>
      <c r="AE4" s="224">
        <f t="shared" ref="AE4:AE67" si="5">K4/10</f>
        <v>0</v>
      </c>
      <c r="AF4" s="224">
        <f t="shared" ref="AF4:AF67" si="6">AB4/10</f>
        <v>122.6</v>
      </c>
      <c r="AG4" s="224">
        <f t="shared" ref="AG4:AG67" si="7">AD4/10</f>
        <v>7.6</v>
      </c>
      <c r="AH4" s="257">
        <f>IFERROR(AVERAGE(L3:L4),)</f>
        <v>0</v>
      </c>
      <c r="AI4" s="258">
        <f>AVERAGE(Q3+R3,Q4+R4)</f>
        <v>0</v>
      </c>
      <c r="AJ4" s="55">
        <f>SUMIFS('tuot-INFO'!W:W,'tuot-INFO'!$A:$A,'tuot-PVÄ'!B4)</f>
        <v>0</v>
      </c>
      <c r="AK4" s="55">
        <f>SUMIFS('tuot-INFO'!X:X,'tuot-INFO'!$A:$A,'tuot-PVÄ'!B4)</f>
        <v>0</v>
      </c>
    </row>
    <row r="5" spans="1:37" x14ac:dyDescent="0.25">
      <c r="A5" s="169">
        <f t="shared" ref="A5:A68" si="8">A4+1</f>
        <v>42491</v>
      </c>
      <c r="B5" s="23">
        <f>ROUNDUP((A5-Yleistiedot!$B$4)/7,0)</f>
        <v>18</v>
      </c>
      <c r="C5" s="16"/>
      <c r="D5" s="25"/>
      <c r="E5" s="25"/>
      <c r="F5" s="25"/>
      <c r="G5" s="25"/>
      <c r="H5" s="25"/>
      <c r="I5" s="65">
        <f t="shared" si="0"/>
        <v>0</v>
      </c>
      <c r="J5" s="26"/>
      <c r="K5" s="25"/>
      <c r="L5" s="16"/>
      <c r="M5" s="16"/>
      <c r="N5" s="25"/>
      <c r="O5" s="30"/>
      <c r="P5" s="252">
        <f t="shared" ref="P5:P13" si="9">P4-C5</f>
        <v>9990</v>
      </c>
      <c r="Q5" s="253">
        <f t="shared" si="1"/>
        <v>0</v>
      </c>
      <c r="R5" s="253">
        <f t="shared" si="2"/>
        <v>0</v>
      </c>
      <c r="S5" s="251">
        <f>SUMIFS('tuot-rehukirjanpito'!D:D,'tuot-rehukirjanpito'!A:A,A5)</f>
        <v>0</v>
      </c>
      <c r="T5" s="254">
        <f t="shared" ref="T5:T68" si="10">IF(L5&gt;0,P5*L5/1000,T4)</f>
        <v>1098.9000000000001</v>
      </c>
      <c r="U5" s="254">
        <f>IFERROR(AVERAGEIF(T3:T5,"&lt;&gt;0"),0)</f>
        <v>1098.9000000000001</v>
      </c>
      <c r="V5" s="252">
        <f>IF(SUMIFS('tuot-rehukirjanpito'!E:E,'tuot-rehukirjanpito'!A:A,'tuot-PVÄ'!A5)&gt;0,SUMIFS('tuot-rehukirjanpito'!E:E,'tuot-rehukirjanpito'!A:A,'tuot-PVÄ'!A5),V4+S5-T5)</f>
        <v>-3296.7000000000003</v>
      </c>
      <c r="W5" s="255">
        <f t="shared" si="3"/>
        <v>-3</v>
      </c>
      <c r="X5" s="256" t="str">
        <f t="shared" ref="X5:X22" si="11">IF(S5&lt;&gt;0,ROUND(A5+W4,0),"")</f>
        <v/>
      </c>
      <c r="Y5" s="256" t="str">
        <f t="shared" ref="Y5:Y22" si="12">IF(S5&lt;&gt;0,ROUND(A5+W5,0),"")</f>
        <v/>
      </c>
      <c r="Z5" s="224" t="str">
        <f>IF(IFERROR(INDEX('tuot-rehukirjanpito'!I:I,MATCH(A5,'tuot-rehukirjanpito'!G:G,0)),)=0,"",INDEX('tuot-rehukirjanpito'!I:I,MATCH(A5,'tuot-rehukirjanpito'!G:G,0)))</f>
        <v/>
      </c>
      <c r="AA5" s="224">
        <f>SUMIFS('tuot-INFO'!$K$10:$K$115,'tuot-INFO'!$A$10:$A$115,'tuot-PVÄ'!B5)</f>
        <v>0</v>
      </c>
      <c r="AB5" s="224">
        <f>SUMIFS('rehu-vesi-INFO'!$R:$R,'rehu-vesi-INFO'!$A:$A,'tuot-PVÄ'!B5)</f>
        <v>1226</v>
      </c>
      <c r="AC5" s="224">
        <f>SUMIFS('rehu-vesi-INFO'!$S:$S,'rehu-vesi-INFO'!$A:$A,'tuot-PVÄ'!B5)</f>
        <v>1302</v>
      </c>
      <c r="AD5" s="224">
        <f t="shared" si="4"/>
        <v>76</v>
      </c>
      <c r="AE5" s="224">
        <f t="shared" si="5"/>
        <v>0</v>
      </c>
      <c r="AF5" s="224">
        <f t="shared" si="6"/>
        <v>122.6</v>
      </c>
      <c r="AG5" s="224">
        <f t="shared" si="7"/>
        <v>7.6</v>
      </c>
      <c r="AH5" s="257">
        <f>IFERROR(AVERAGE(L3:L5),)</f>
        <v>0</v>
      </c>
      <c r="AI5" s="258">
        <f>AVERAGE(Q4+R4,Q5+R5,Q3+R3)</f>
        <v>0</v>
      </c>
      <c r="AJ5" s="55">
        <f>SUMIFS('tuot-INFO'!W:W,'tuot-INFO'!$A:$A,'tuot-PVÄ'!B5)</f>
        <v>0</v>
      </c>
      <c r="AK5" s="55">
        <f>SUMIFS('tuot-INFO'!X:X,'tuot-INFO'!$A:$A,'tuot-PVÄ'!B5)</f>
        <v>0</v>
      </c>
    </row>
    <row r="6" spans="1:37" x14ac:dyDescent="0.25">
      <c r="A6" s="169">
        <f t="shared" si="8"/>
        <v>42492</v>
      </c>
      <c r="B6" s="23">
        <f>ROUNDUP((A6-Yleistiedot!$B$4)/7,0)</f>
        <v>18</v>
      </c>
      <c r="C6" s="16"/>
      <c r="D6" s="25"/>
      <c r="E6" s="25"/>
      <c r="F6" s="25"/>
      <c r="G6" s="25"/>
      <c r="H6" s="25"/>
      <c r="I6" s="65">
        <f t="shared" si="0"/>
        <v>0</v>
      </c>
      <c r="J6" s="26"/>
      <c r="K6" s="25"/>
      <c r="L6" s="16"/>
      <c r="M6" s="16"/>
      <c r="N6" s="25"/>
      <c r="O6" s="30"/>
      <c r="P6" s="252">
        <f t="shared" si="9"/>
        <v>9990</v>
      </c>
      <c r="Q6" s="253">
        <f t="shared" si="1"/>
        <v>0</v>
      </c>
      <c r="R6" s="253">
        <f t="shared" si="2"/>
        <v>0</v>
      </c>
      <c r="S6" s="251">
        <f>SUMIFS('tuot-rehukirjanpito'!D:D,'tuot-rehukirjanpito'!A:A,A6)</f>
        <v>0</v>
      </c>
      <c r="T6" s="254">
        <f t="shared" si="10"/>
        <v>1098.9000000000001</v>
      </c>
      <c r="U6" s="254">
        <f>IFERROR(AVERAGEIF(T3:T6,"&lt;&gt;0"),0)</f>
        <v>1098.9000000000001</v>
      </c>
      <c r="V6" s="252">
        <f>IF(SUMIFS('tuot-rehukirjanpito'!E:E,'tuot-rehukirjanpito'!A:A,'tuot-PVÄ'!A6)&gt;0,SUMIFS('tuot-rehukirjanpito'!E:E,'tuot-rehukirjanpito'!A:A,'tuot-PVÄ'!A6),V5+S6-T6)</f>
        <v>-4395.6000000000004</v>
      </c>
      <c r="W6" s="255">
        <f t="shared" si="3"/>
        <v>-4</v>
      </c>
      <c r="X6" s="256" t="str">
        <f t="shared" si="11"/>
        <v/>
      </c>
      <c r="Y6" s="256" t="str">
        <f t="shared" si="12"/>
        <v/>
      </c>
      <c r="Z6" s="224" t="str">
        <f>IF(IFERROR(INDEX('tuot-rehukirjanpito'!I:I,MATCH(A6,'tuot-rehukirjanpito'!G:G,0)),)=0,"",INDEX('tuot-rehukirjanpito'!I:I,MATCH(A6,'tuot-rehukirjanpito'!G:G,0)))</f>
        <v/>
      </c>
      <c r="AA6" s="224">
        <f>SUMIFS('tuot-INFO'!$K$10:$K$115,'tuot-INFO'!$A$10:$A$115,'tuot-PVÄ'!B6)</f>
        <v>0</v>
      </c>
      <c r="AB6" s="224">
        <f>SUMIFS('rehu-vesi-INFO'!$R:$R,'rehu-vesi-INFO'!$A:$A,'tuot-PVÄ'!B6)</f>
        <v>1226</v>
      </c>
      <c r="AC6" s="224">
        <f>SUMIFS('rehu-vesi-INFO'!$S:$S,'rehu-vesi-INFO'!$A:$A,'tuot-PVÄ'!B6)</f>
        <v>1302</v>
      </c>
      <c r="AD6" s="224">
        <f t="shared" si="4"/>
        <v>76</v>
      </c>
      <c r="AE6" s="224">
        <f t="shared" si="5"/>
        <v>0</v>
      </c>
      <c r="AF6" s="224">
        <f t="shared" si="6"/>
        <v>122.6</v>
      </c>
      <c r="AG6" s="224">
        <f t="shared" si="7"/>
        <v>7.6</v>
      </c>
      <c r="AH6" s="257">
        <f t="shared" ref="AH6:AH69" si="13">IFERROR(AVERAGE(L4:L6),)</f>
        <v>0</v>
      </c>
      <c r="AI6" s="258">
        <f t="shared" ref="AI6:AI69" si="14">AVERAGE(Q5+R5,Q6+R6,Q4+R4)</f>
        <v>0</v>
      </c>
      <c r="AJ6" s="55">
        <f>SUMIFS('tuot-INFO'!W:W,'tuot-INFO'!$A:$A,'tuot-PVÄ'!B6)</f>
        <v>0</v>
      </c>
      <c r="AK6" s="55">
        <f>SUMIFS('tuot-INFO'!X:X,'tuot-INFO'!$A:$A,'tuot-PVÄ'!B6)</f>
        <v>0</v>
      </c>
    </row>
    <row r="7" spans="1:37" x14ac:dyDescent="0.25">
      <c r="A7" s="169">
        <f t="shared" si="8"/>
        <v>42493</v>
      </c>
      <c r="B7" s="23">
        <f>ROUNDUP((A7-Yleistiedot!$B$4)/7,0)</f>
        <v>18</v>
      </c>
      <c r="C7" s="16"/>
      <c r="D7" s="25"/>
      <c r="E7" s="25"/>
      <c r="F7" s="25"/>
      <c r="G7" s="25"/>
      <c r="H7" s="25"/>
      <c r="I7" s="65">
        <f t="shared" si="0"/>
        <v>0</v>
      </c>
      <c r="J7" s="26"/>
      <c r="K7" s="25"/>
      <c r="L7" s="16"/>
      <c r="M7" s="16"/>
      <c r="N7" s="25"/>
      <c r="O7" s="176"/>
      <c r="P7" s="252">
        <f t="shared" si="9"/>
        <v>9990</v>
      </c>
      <c r="Q7" s="253">
        <f t="shared" si="1"/>
        <v>0</v>
      </c>
      <c r="R7" s="253">
        <f t="shared" si="2"/>
        <v>0</v>
      </c>
      <c r="S7" s="251">
        <f>SUMIFS('tuot-rehukirjanpito'!D:D,'tuot-rehukirjanpito'!A:A,A7)</f>
        <v>0</v>
      </c>
      <c r="T7" s="254">
        <f t="shared" si="10"/>
        <v>1098.9000000000001</v>
      </c>
      <c r="U7" s="254">
        <f>IFERROR(AVERAGEIF(T3:T7,"&lt;&gt;0"),0)</f>
        <v>1098.9000000000001</v>
      </c>
      <c r="V7" s="252">
        <f>IF(SUMIFS('tuot-rehukirjanpito'!E:E,'tuot-rehukirjanpito'!A:A,'tuot-PVÄ'!A7)&gt;0,SUMIFS('tuot-rehukirjanpito'!E:E,'tuot-rehukirjanpito'!A:A,'tuot-PVÄ'!A7),V6+S7-T7)</f>
        <v>-5494.5</v>
      </c>
      <c r="W7" s="255">
        <f t="shared" si="3"/>
        <v>-5</v>
      </c>
      <c r="X7" s="256" t="str">
        <f t="shared" si="11"/>
        <v/>
      </c>
      <c r="Y7" s="256" t="str">
        <f t="shared" si="12"/>
        <v/>
      </c>
      <c r="Z7" s="224" t="str">
        <f>IF(IFERROR(INDEX('tuot-rehukirjanpito'!I:I,MATCH(A7,'tuot-rehukirjanpito'!G:G,0)),)=0,"",INDEX('tuot-rehukirjanpito'!I:I,MATCH(A7,'tuot-rehukirjanpito'!G:G,0)))</f>
        <v/>
      </c>
      <c r="AA7" s="224">
        <f>SUMIFS('tuot-INFO'!$K$10:$K$115,'tuot-INFO'!$A$10:$A$115,'tuot-PVÄ'!B7)</f>
        <v>0</v>
      </c>
      <c r="AB7" s="224">
        <f>SUMIFS('rehu-vesi-INFO'!$R:$R,'rehu-vesi-INFO'!$A:$A,'tuot-PVÄ'!B7)</f>
        <v>1226</v>
      </c>
      <c r="AC7" s="224">
        <f>SUMIFS('rehu-vesi-INFO'!$S:$S,'rehu-vesi-INFO'!$A:$A,'tuot-PVÄ'!B7)</f>
        <v>1302</v>
      </c>
      <c r="AD7" s="224">
        <f t="shared" si="4"/>
        <v>76</v>
      </c>
      <c r="AE7" s="224">
        <f t="shared" si="5"/>
        <v>0</v>
      </c>
      <c r="AF7" s="224">
        <f t="shared" si="6"/>
        <v>122.6</v>
      </c>
      <c r="AG7" s="224">
        <f t="shared" si="7"/>
        <v>7.6</v>
      </c>
      <c r="AH7" s="257">
        <f t="shared" si="13"/>
        <v>0</v>
      </c>
      <c r="AI7" s="258">
        <f t="shared" si="14"/>
        <v>0</v>
      </c>
      <c r="AJ7" s="55">
        <f>SUMIFS('tuot-INFO'!W:W,'tuot-INFO'!$A:$A,'tuot-PVÄ'!B7)</f>
        <v>0</v>
      </c>
      <c r="AK7" s="55">
        <f>SUMIFS('tuot-INFO'!X:X,'tuot-INFO'!$A:$A,'tuot-PVÄ'!B7)</f>
        <v>0</v>
      </c>
    </row>
    <row r="8" spans="1:37" x14ac:dyDescent="0.25">
      <c r="A8" s="169">
        <f t="shared" si="8"/>
        <v>42494</v>
      </c>
      <c r="B8" s="23">
        <f>ROUNDUP((A8-Yleistiedot!$B$4)/7,0)</f>
        <v>18</v>
      </c>
      <c r="C8" s="16"/>
      <c r="D8" s="25"/>
      <c r="E8" s="25"/>
      <c r="F8" s="25"/>
      <c r="G8" s="25"/>
      <c r="H8" s="25"/>
      <c r="I8" s="65">
        <f t="shared" si="0"/>
        <v>0</v>
      </c>
      <c r="J8" s="26"/>
      <c r="K8" s="25"/>
      <c r="L8" s="16"/>
      <c r="M8" s="16"/>
      <c r="N8" s="25"/>
      <c r="O8" s="30"/>
      <c r="P8" s="252">
        <f t="shared" si="9"/>
        <v>9990</v>
      </c>
      <c r="Q8" s="253">
        <f t="shared" si="1"/>
        <v>0</v>
      </c>
      <c r="R8" s="253">
        <f t="shared" si="2"/>
        <v>0</v>
      </c>
      <c r="S8" s="251">
        <f>SUMIFS('tuot-rehukirjanpito'!D:D,'tuot-rehukirjanpito'!A:A,A8)</f>
        <v>0</v>
      </c>
      <c r="T8" s="254">
        <f t="shared" si="10"/>
        <v>1098.9000000000001</v>
      </c>
      <c r="U8" s="254">
        <f>IFERROR(AVERAGEIF(T3:T8,"&lt;&gt;0"),0)</f>
        <v>1098.8999999999999</v>
      </c>
      <c r="V8" s="252">
        <f>IF(SUMIFS('tuot-rehukirjanpito'!E:E,'tuot-rehukirjanpito'!A:A,'tuot-PVÄ'!A8)&gt;0,SUMIFS('tuot-rehukirjanpito'!E:E,'tuot-rehukirjanpito'!A:A,'tuot-PVÄ'!A8),V7+S8-T8)</f>
        <v>-6593.4</v>
      </c>
      <c r="W8" s="255">
        <f t="shared" si="3"/>
        <v>-5.9999999999999991</v>
      </c>
      <c r="X8" s="256" t="str">
        <f t="shared" si="11"/>
        <v/>
      </c>
      <c r="Y8" s="256" t="str">
        <f t="shared" si="12"/>
        <v/>
      </c>
      <c r="Z8" s="224" t="str">
        <f>IF(IFERROR(INDEX('tuot-rehukirjanpito'!I:I,MATCH(A8,'tuot-rehukirjanpito'!G:G,0)),)=0,"",INDEX('tuot-rehukirjanpito'!I:I,MATCH(A8,'tuot-rehukirjanpito'!G:G,0)))</f>
        <v/>
      </c>
      <c r="AA8" s="224">
        <f>SUMIFS('tuot-INFO'!$K$10:$K$115,'tuot-INFO'!$A$10:$A$115,'tuot-PVÄ'!B8)</f>
        <v>0</v>
      </c>
      <c r="AB8" s="224">
        <f>SUMIFS('rehu-vesi-INFO'!$R:$R,'rehu-vesi-INFO'!$A:$A,'tuot-PVÄ'!B8)</f>
        <v>1226</v>
      </c>
      <c r="AC8" s="224">
        <f>SUMIFS('rehu-vesi-INFO'!$S:$S,'rehu-vesi-INFO'!$A:$A,'tuot-PVÄ'!B8)</f>
        <v>1302</v>
      </c>
      <c r="AD8" s="224">
        <f t="shared" si="4"/>
        <v>76</v>
      </c>
      <c r="AE8" s="224">
        <f t="shared" si="5"/>
        <v>0</v>
      </c>
      <c r="AF8" s="224">
        <f t="shared" si="6"/>
        <v>122.6</v>
      </c>
      <c r="AG8" s="224">
        <f t="shared" si="7"/>
        <v>7.6</v>
      </c>
      <c r="AH8" s="257">
        <f t="shared" si="13"/>
        <v>0</v>
      </c>
      <c r="AI8" s="258">
        <f t="shared" si="14"/>
        <v>0</v>
      </c>
      <c r="AJ8" s="55">
        <f>SUMIFS('tuot-INFO'!W:W,'tuot-INFO'!$A:$A,'tuot-PVÄ'!B8)</f>
        <v>0</v>
      </c>
      <c r="AK8" s="55">
        <f>SUMIFS('tuot-INFO'!X:X,'tuot-INFO'!$A:$A,'tuot-PVÄ'!B8)</f>
        <v>0</v>
      </c>
    </row>
    <row r="9" spans="1:37" x14ac:dyDescent="0.25">
      <c r="A9" s="169">
        <f t="shared" si="8"/>
        <v>42495</v>
      </c>
      <c r="B9" s="23">
        <f>ROUNDUP((A9-Yleistiedot!$B$4)/7,0)</f>
        <v>18</v>
      </c>
      <c r="C9" s="16"/>
      <c r="D9" s="25"/>
      <c r="E9" s="25"/>
      <c r="F9" s="25"/>
      <c r="G9" s="25"/>
      <c r="H9" s="25"/>
      <c r="I9" s="65">
        <f t="shared" si="0"/>
        <v>0</v>
      </c>
      <c r="J9" s="26"/>
      <c r="K9" s="25"/>
      <c r="L9" s="16"/>
      <c r="M9" s="16"/>
      <c r="N9" s="25"/>
      <c r="O9" s="30"/>
      <c r="P9" s="252">
        <f t="shared" si="9"/>
        <v>9990</v>
      </c>
      <c r="Q9" s="253">
        <f t="shared" si="1"/>
        <v>0</v>
      </c>
      <c r="R9" s="253">
        <f t="shared" si="2"/>
        <v>0</v>
      </c>
      <c r="S9" s="251">
        <f>SUMIFS('tuot-rehukirjanpito'!D:D,'tuot-rehukirjanpito'!A:A,A9)</f>
        <v>0</v>
      </c>
      <c r="T9" s="254">
        <f>IF(L9&gt;0,P9*L9/1000,T8)</f>
        <v>1098.9000000000001</v>
      </c>
      <c r="U9" s="254">
        <f t="shared" ref="U9:U23" si="15">IFERROR(AVERAGEIF(T3:T9,"&lt;&gt;0"),0)</f>
        <v>1098.8999999999999</v>
      </c>
      <c r="V9" s="252">
        <f>IF(SUMIFS('tuot-rehukirjanpito'!E:E,'tuot-rehukirjanpito'!A:A,'tuot-PVÄ'!A9)&gt;0,SUMIFS('tuot-rehukirjanpito'!E:E,'tuot-rehukirjanpito'!A:A,'tuot-PVÄ'!A9),V8+S9-T9)</f>
        <v>-7692.2999999999993</v>
      </c>
      <c r="W9" s="255">
        <f t="shared" si="3"/>
        <v>-6.9999999999999991</v>
      </c>
      <c r="X9" s="256" t="str">
        <f t="shared" si="11"/>
        <v/>
      </c>
      <c r="Y9" s="256" t="str">
        <f t="shared" si="12"/>
        <v/>
      </c>
      <c r="Z9" s="224" t="str">
        <f>IF(IFERROR(INDEX('tuot-rehukirjanpito'!I:I,MATCH(A9,'tuot-rehukirjanpito'!G:G,0)),)=0,"",INDEX('tuot-rehukirjanpito'!I:I,MATCH(A9,'tuot-rehukirjanpito'!G:G,0)))</f>
        <v/>
      </c>
      <c r="AA9" s="224">
        <f>SUMIFS('tuot-INFO'!$K$10:$K$115,'tuot-INFO'!$A$10:$A$115,'tuot-PVÄ'!B9)</f>
        <v>0</v>
      </c>
      <c r="AB9" s="224">
        <f>SUMIFS('rehu-vesi-INFO'!$R:$R,'rehu-vesi-INFO'!$A:$A,'tuot-PVÄ'!B9)</f>
        <v>1226</v>
      </c>
      <c r="AC9" s="224">
        <f>SUMIFS('rehu-vesi-INFO'!$S:$S,'rehu-vesi-INFO'!$A:$A,'tuot-PVÄ'!B9)</f>
        <v>1302</v>
      </c>
      <c r="AD9" s="224">
        <f t="shared" si="4"/>
        <v>76</v>
      </c>
      <c r="AE9" s="224">
        <f t="shared" si="5"/>
        <v>0</v>
      </c>
      <c r="AF9" s="224">
        <f t="shared" si="6"/>
        <v>122.6</v>
      </c>
      <c r="AG9" s="224">
        <f t="shared" si="7"/>
        <v>7.6</v>
      </c>
      <c r="AH9" s="257">
        <f t="shared" si="13"/>
        <v>0</v>
      </c>
      <c r="AI9" s="258">
        <f t="shared" si="14"/>
        <v>0</v>
      </c>
      <c r="AJ9" s="55">
        <f>SUMIFS('tuot-INFO'!W:W,'tuot-INFO'!$A:$A,'tuot-PVÄ'!B9)</f>
        <v>0</v>
      </c>
      <c r="AK9" s="55">
        <f>SUMIFS('tuot-INFO'!X:X,'tuot-INFO'!$A:$A,'tuot-PVÄ'!B9)</f>
        <v>0</v>
      </c>
    </row>
    <row r="10" spans="1:37" x14ac:dyDescent="0.25">
      <c r="A10" s="169">
        <f t="shared" si="8"/>
        <v>42496</v>
      </c>
      <c r="B10" s="23">
        <f>ROUNDUP((A10-Yleistiedot!$B$4)/7,0)</f>
        <v>18</v>
      </c>
      <c r="C10" s="16"/>
      <c r="D10" s="25"/>
      <c r="E10" s="25"/>
      <c r="F10" s="25"/>
      <c r="G10" s="25"/>
      <c r="H10" s="25"/>
      <c r="I10" s="65">
        <f t="shared" si="0"/>
        <v>0</v>
      </c>
      <c r="J10" s="26"/>
      <c r="K10" s="25"/>
      <c r="L10" s="16"/>
      <c r="M10" s="16"/>
      <c r="N10" s="25"/>
      <c r="O10" s="176"/>
      <c r="P10" s="252">
        <f t="shared" si="9"/>
        <v>9990</v>
      </c>
      <c r="Q10" s="253">
        <f t="shared" si="1"/>
        <v>0</v>
      </c>
      <c r="R10" s="253">
        <f t="shared" si="2"/>
        <v>0</v>
      </c>
      <c r="S10" s="251">
        <f>SUMIFS('tuot-rehukirjanpito'!D:D,'tuot-rehukirjanpito'!A:A,A10)</f>
        <v>0</v>
      </c>
      <c r="T10" s="254">
        <f t="shared" si="10"/>
        <v>1098.9000000000001</v>
      </c>
      <c r="U10" s="254">
        <f t="shared" si="15"/>
        <v>1098.8999999999999</v>
      </c>
      <c r="V10" s="252">
        <f>IF(SUMIFS('tuot-rehukirjanpito'!E:E,'tuot-rehukirjanpito'!A:A,'tuot-PVÄ'!A10)&gt;0,SUMIFS('tuot-rehukirjanpito'!E:E,'tuot-rehukirjanpito'!A:A,'tuot-PVÄ'!A10),V9+S10-T10)</f>
        <v>-8791.1999999999989</v>
      </c>
      <c r="W10" s="255">
        <f t="shared" si="3"/>
        <v>-7.9999999999999982</v>
      </c>
      <c r="X10" s="256" t="str">
        <f t="shared" si="11"/>
        <v/>
      </c>
      <c r="Y10" s="256" t="str">
        <f t="shared" si="12"/>
        <v/>
      </c>
      <c r="Z10" s="224" t="str">
        <f>IF(IFERROR(INDEX('tuot-rehukirjanpito'!I:I,MATCH(A10,'tuot-rehukirjanpito'!G:G,0)),)=0,"",INDEX('tuot-rehukirjanpito'!I:I,MATCH(A10,'tuot-rehukirjanpito'!G:G,0)))</f>
        <v/>
      </c>
      <c r="AA10" s="224">
        <f>SUMIFS('tuot-INFO'!$K$10:$K$115,'tuot-INFO'!$A$10:$A$115,'tuot-PVÄ'!B10)</f>
        <v>0</v>
      </c>
      <c r="AB10" s="224">
        <f>SUMIFS('rehu-vesi-INFO'!$R:$R,'rehu-vesi-INFO'!$A:$A,'tuot-PVÄ'!B10)</f>
        <v>1226</v>
      </c>
      <c r="AC10" s="224">
        <f>SUMIFS('rehu-vesi-INFO'!$S:$S,'rehu-vesi-INFO'!$A:$A,'tuot-PVÄ'!B10)</f>
        <v>1302</v>
      </c>
      <c r="AD10" s="224">
        <f t="shared" si="4"/>
        <v>76</v>
      </c>
      <c r="AE10" s="224">
        <f t="shared" si="5"/>
        <v>0</v>
      </c>
      <c r="AF10" s="224">
        <f t="shared" si="6"/>
        <v>122.6</v>
      </c>
      <c r="AG10" s="224">
        <f t="shared" si="7"/>
        <v>7.6</v>
      </c>
      <c r="AH10" s="257">
        <f t="shared" si="13"/>
        <v>0</v>
      </c>
      <c r="AI10" s="258">
        <f t="shared" si="14"/>
        <v>0</v>
      </c>
      <c r="AJ10" s="55">
        <f>SUMIFS('tuot-INFO'!W:W,'tuot-INFO'!$A:$A,'tuot-PVÄ'!B10)</f>
        <v>0</v>
      </c>
      <c r="AK10" s="55">
        <f>SUMIFS('tuot-INFO'!X:X,'tuot-INFO'!$A:$A,'tuot-PVÄ'!B10)</f>
        <v>0</v>
      </c>
    </row>
    <row r="11" spans="1:37" x14ac:dyDescent="0.25">
      <c r="A11" s="169">
        <f t="shared" si="8"/>
        <v>42497</v>
      </c>
      <c r="B11" s="23">
        <f>ROUNDUP((A11-Yleistiedot!$B$4)/7,0)</f>
        <v>19</v>
      </c>
      <c r="C11" s="16"/>
      <c r="D11" s="25"/>
      <c r="E11" s="25"/>
      <c r="F11" s="25"/>
      <c r="G11" s="25"/>
      <c r="H11" s="25"/>
      <c r="I11" s="65">
        <f t="shared" si="0"/>
        <v>0</v>
      </c>
      <c r="J11" s="26"/>
      <c r="K11" s="25"/>
      <c r="L11" s="16"/>
      <c r="M11" s="16"/>
      <c r="N11" s="25"/>
      <c r="O11" s="176"/>
      <c r="P11" s="252">
        <f t="shared" si="9"/>
        <v>9990</v>
      </c>
      <c r="Q11" s="253">
        <f t="shared" si="1"/>
        <v>0</v>
      </c>
      <c r="R11" s="253">
        <f t="shared" si="2"/>
        <v>0</v>
      </c>
      <c r="S11" s="251">
        <f>SUMIFS('tuot-rehukirjanpito'!D:D,'tuot-rehukirjanpito'!A:A,A11)</f>
        <v>0</v>
      </c>
      <c r="T11" s="254">
        <f t="shared" si="10"/>
        <v>1098.9000000000001</v>
      </c>
      <c r="U11" s="254">
        <f t="shared" si="15"/>
        <v>1098.8999999999999</v>
      </c>
      <c r="V11" s="252">
        <f>IF(SUMIFS('tuot-rehukirjanpito'!E:E,'tuot-rehukirjanpito'!A:A,'tuot-PVÄ'!A11)&gt;0,SUMIFS('tuot-rehukirjanpito'!E:E,'tuot-rehukirjanpito'!A:A,'tuot-PVÄ'!A11),V10+S11-T11)</f>
        <v>-9890.0999999999985</v>
      </c>
      <c r="W11" s="255">
        <f t="shared" si="3"/>
        <v>-8.9999999999999982</v>
      </c>
      <c r="X11" s="256" t="str">
        <f t="shared" si="11"/>
        <v/>
      </c>
      <c r="Y11" s="256" t="str">
        <f t="shared" si="12"/>
        <v/>
      </c>
      <c r="Z11" s="224" t="str">
        <f>IF(IFERROR(INDEX('tuot-rehukirjanpito'!I:I,MATCH(A11,'tuot-rehukirjanpito'!G:G,0)),)=0,"",INDEX('tuot-rehukirjanpito'!I:I,MATCH(A11,'tuot-rehukirjanpito'!G:G,0)))</f>
        <v/>
      </c>
      <c r="AA11" s="224">
        <f>SUMIFS('tuot-INFO'!$K$10:$K$115,'tuot-INFO'!$A$10:$A$115,'tuot-PVÄ'!B11)</f>
        <v>44</v>
      </c>
      <c r="AB11" s="224">
        <f>SUMIFS('rehu-vesi-INFO'!$R:$R,'rehu-vesi-INFO'!$A:$A,'tuot-PVÄ'!B11)</f>
        <v>1282</v>
      </c>
      <c r="AC11" s="224">
        <f>SUMIFS('rehu-vesi-INFO'!$S:$S,'rehu-vesi-INFO'!$A:$A,'tuot-PVÄ'!B11)</f>
        <v>1362</v>
      </c>
      <c r="AD11" s="224">
        <f t="shared" si="4"/>
        <v>80</v>
      </c>
      <c r="AE11" s="224">
        <f t="shared" si="5"/>
        <v>0</v>
      </c>
      <c r="AF11" s="224">
        <f t="shared" si="6"/>
        <v>128.19999999999999</v>
      </c>
      <c r="AG11" s="224">
        <f t="shared" si="7"/>
        <v>8</v>
      </c>
      <c r="AH11" s="257">
        <f t="shared" si="13"/>
        <v>0</v>
      </c>
      <c r="AI11" s="258">
        <f t="shared" si="14"/>
        <v>0</v>
      </c>
      <c r="AJ11" s="55">
        <f>SUMIFS('tuot-INFO'!W:W,'tuot-INFO'!$A:$A,'tuot-PVÄ'!B11)</f>
        <v>9.3000000000000007</v>
      </c>
      <c r="AK11" s="55">
        <f>SUMIFS('tuot-INFO'!X:X,'tuot-INFO'!$A:$A,'tuot-PVÄ'!B11)</f>
        <v>1</v>
      </c>
    </row>
    <row r="12" spans="1:37" x14ac:dyDescent="0.25">
      <c r="A12" s="169">
        <f t="shared" si="8"/>
        <v>42498</v>
      </c>
      <c r="B12" s="23">
        <f>ROUNDUP((A12-Yleistiedot!$B$4)/7,0)</f>
        <v>19</v>
      </c>
      <c r="C12" s="16"/>
      <c r="D12" s="25"/>
      <c r="E12" s="25"/>
      <c r="F12" s="25"/>
      <c r="G12" s="25"/>
      <c r="H12" s="25"/>
      <c r="I12" s="65">
        <f t="shared" si="0"/>
        <v>0</v>
      </c>
      <c r="J12" s="26"/>
      <c r="K12" s="25"/>
      <c r="L12" s="16"/>
      <c r="M12" s="16"/>
      <c r="N12" s="25"/>
      <c r="O12" s="30"/>
      <c r="P12" s="252">
        <f t="shared" si="9"/>
        <v>9990</v>
      </c>
      <c r="Q12" s="253">
        <f t="shared" si="1"/>
        <v>0</v>
      </c>
      <c r="R12" s="253">
        <f t="shared" si="2"/>
        <v>0</v>
      </c>
      <c r="S12" s="251">
        <f>SUMIFS('tuot-rehukirjanpito'!D:D,'tuot-rehukirjanpito'!A:A,A12)</f>
        <v>0</v>
      </c>
      <c r="T12" s="254">
        <f t="shared" si="10"/>
        <v>1098.9000000000001</v>
      </c>
      <c r="U12" s="254">
        <f t="shared" si="15"/>
        <v>1098.8999999999999</v>
      </c>
      <c r="V12" s="252">
        <f>IF(SUMIFS('tuot-rehukirjanpito'!E:E,'tuot-rehukirjanpito'!A:A,'tuot-PVÄ'!A12)&gt;0,SUMIFS('tuot-rehukirjanpito'!E:E,'tuot-rehukirjanpito'!A:A,'tuot-PVÄ'!A12),V11+S12-T12)</f>
        <v>-10988.999999999998</v>
      </c>
      <c r="W12" s="255">
        <f t="shared" si="3"/>
        <v>-9.9999999999999982</v>
      </c>
      <c r="X12" s="256" t="str">
        <f t="shared" si="11"/>
        <v/>
      </c>
      <c r="Y12" s="256" t="str">
        <f t="shared" si="12"/>
        <v/>
      </c>
      <c r="Z12" s="224" t="str">
        <f>IF(IFERROR(INDEX('tuot-rehukirjanpito'!I:I,MATCH(A12,'tuot-rehukirjanpito'!G:G,0)),)=0,"",INDEX('tuot-rehukirjanpito'!I:I,MATCH(A12,'tuot-rehukirjanpito'!G:G,0)))</f>
        <v/>
      </c>
      <c r="AA12" s="224">
        <f>SUMIFS('tuot-INFO'!$K$10:$K$115,'tuot-INFO'!$A$10:$A$115,'tuot-PVÄ'!B12)</f>
        <v>44</v>
      </c>
      <c r="AB12" s="224">
        <f>SUMIFS('rehu-vesi-INFO'!$R:$R,'rehu-vesi-INFO'!$A:$A,'tuot-PVÄ'!B12)</f>
        <v>1282</v>
      </c>
      <c r="AC12" s="224">
        <f>SUMIFS('rehu-vesi-INFO'!$S:$S,'rehu-vesi-INFO'!$A:$A,'tuot-PVÄ'!B12)</f>
        <v>1362</v>
      </c>
      <c r="AD12" s="224">
        <f t="shared" si="4"/>
        <v>80</v>
      </c>
      <c r="AE12" s="224">
        <f t="shared" si="5"/>
        <v>0</v>
      </c>
      <c r="AF12" s="224">
        <f t="shared" si="6"/>
        <v>128.19999999999999</v>
      </c>
      <c r="AG12" s="224">
        <f t="shared" si="7"/>
        <v>8</v>
      </c>
      <c r="AH12" s="257">
        <f t="shared" si="13"/>
        <v>0</v>
      </c>
      <c r="AI12" s="258">
        <f t="shared" si="14"/>
        <v>0</v>
      </c>
      <c r="AJ12" s="55">
        <f>SUMIFS('tuot-INFO'!W:W,'tuot-INFO'!$A:$A,'tuot-PVÄ'!B12)</f>
        <v>9.3000000000000007</v>
      </c>
      <c r="AK12" s="55">
        <f>SUMIFS('tuot-INFO'!X:X,'tuot-INFO'!$A:$A,'tuot-PVÄ'!B12)</f>
        <v>1</v>
      </c>
    </row>
    <row r="13" spans="1:37" x14ac:dyDescent="0.25">
      <c r="A13" s="169">
        <f t="shared" si="8"/>
        <v>42499</v>
      </c>
      <c r="B13" s="23">
        <f>ROUNDUP((A13-Yleistiedot!$B$4)/7,0)</f>
        <v>19</v>
      </c>
      <c r="C13" s="16"/>
      <c r="D13" s="25"/>
      <c r="E13" s="25"/>
      <c r="F13" s="25"/>
      <c r="G13" s="25"/>
      <c r="H13" s="25"/>
      <c r="I13" s="65">
        <f t="shared" si="0"/>
        <v>0</v>
      </c>
      <c r="J13" s="26"/>
      <c r="K13" s="25"/>
      <c r="L13" s="16"/>
      <c r="M13" s="16"/>
      <c r="N13" s="25"/>
      <c r="O13" s="30"/>
      <c r="P13" s="252">
        <f t="shared" si="9"/>
        <v>9990</v>
      </c>
      <c r="Q13" s="253">
        <f t="shared" si="1"/>
        <v>0</v>
      </c>
      <c r="R13" s="253">
        <f t="shared" si="2"/>
        <v>0</v>
      </c>
      <c r="S13" s="251">
        <f>SUMIFS('tuot-rehukirjanpito'!D:D,'tuot-rehukirjanpito'!A:A,A13)</f>
        <v>0</v>
      </c>
      <c r="T13" s="254">
        <f t="shared" si="10"/>
        <v>1098.9000000000001</v>
      </c>
      <c r="U13" s="254">
        <f t="shared" si="15"/>
        <v>1098.8999999999999</v>
      </c>
      <c r="V13" s="252">
        <f>IF(SUMIFS('tuot-rehukirjanpito'!E:E,'tuot-rehukirjanpito'!A:A,'tuot-PVÄ'!A13)&gt;0,SUMIFS('tuot-rehukirjanpito'!E:E,'tuot-rehukirjanpito'!A:A,'tuot-PVÄ'!A13),V12+S13-T13)</f>
        <v>-12087.899999999998</v>
      </c>
      <c r="W13" s="255">
        <f t="shared" si="3"/>
        <v>-10.999999999999996</v>
      </c>
      <c r="X13" s="256" t="str">
        <f t="shared" si="11"/>
        <v/>
      </c>
      <c r="Y13" s="256" t="str">
        <f t="shared" si="12"/>
        <v/>
      </c>
      <c r="Z13" s="224" t="str">
        <f>IF(IFERROR(INDEX('tuot-rehukirjanpito'!I:I,MATCH(A13,'tuot-rehukirjanpito'!G:G,0)),)=0,"",INDEX('tuot-rehukirjanpito'!I:I,MATCH(A13,'tuot-rehukirjanpito'!G:G,0)))</f>
        <v/>
      </c>
      <c r="AA13" s="224">
        <f>SUMIFS('tuot-INFO'!$K$10:$K$115,'tuot-INFO'!$A$10:$A$115,'tuot-PVÄ'!B13)</f>
        <v>44</v>
      </c>
      <c r="AB13" s="224">
        <f>SUMIFS('rehu-vesi-INFO'!$R:$R,'rehu-vesi-INFO'!$A:$A,'tuot-PVÄ'!B13)</f>
        <v>1282</v>
      </c>
      <c r="AC13" s="224">
        <f>SUMIFS('rehu-vesi-INFO'!$S:$S,'rehu-vesi-INFO'!$A:$A,'tuot-PVÄ'!B13)</f>
        <v>1362</v>
      </c>
      <c r="AD13" s="224">
        <f t="shared" si="4"/>
        <v>80</v>
      </c>
      <c r="AE13" s="224">
        <f t="shared" si="5"/>
        <v>0</v>
      </c>
      <c r="AF13" s="224">
        <f t="shared" si="6"/>
        <v>128.19999999999999</v>
      </c>
      <c r="AG13" s="224">
        <f t="shared" si="7"/>
        <v>8</v>
      </c>
      <c r="AH13" s="257">
        <f t="shared" si="13"/>
        <v>0</v>
      </c>
      <c r="AI13" s="258">
        <f t="shared" si="14"/>
        <v>0</v>
      </c>
      <c r="AJ13" s="55">
        <f>SUMIFS('tuot-INFO'!W:W,'tuot-INFO'!$A:$A,'tuot-PVÄ'!B13)</f>
        <v>9.3000000000000007</v>
      </c>
      <c r="AK13" s="55">
        <f>SUMIFS('tuot-INFO'!X:X,'tuot-INFO'!$A:$A,'tuot-PVÄ'!B13)</f>
        <v>1</v>
      </c>
    </row>
    <row r="14" spans="1:37" x14ac:dyDescent="0.25">
      <c r="A14" s="169">
        <f t="shared" si="8"/>
        <v>42500</v>
      </c>
      <c r="B14" s="23">
        <f>ROUNDUP((A14-Yleistiedot!$B$4)/7,0)</f>
        <v>19</v>
      </c>
      <c r="C14" s="16"/>
      <c r="D14" s="25"/>
      <c r="E14" s="25"/>
      <c r="F14" s="25"/>
      <c r="G14" s="25"/>
      <c r="H14" s="25"/>
      <c r="I14" s="65">
        <f t="shared" si="0"/>
        <v>0</v>
      </c>
      <c r="J14" s="26"/>
      <c r="K14" s="25"/>
      <c r="L14" s="16"/>
      <c r="M14" s="16"/>
      <c r="N14" s="25"/>
      <c r="O14" s="30"/>
      <c r="P14" s="252">
        <f t="shared" ref="P14:P31" si="16">P13-C14</f>
        <v>9990</v>
      </c>
      <c r="Q14" s="253">
        <f t="shared" ref="Q14:Q31" si="17">D14/P14*100</f>
        <v>0</v>
      </c>
      <c r="R14" s="253">
        <f t="shared" ref="R14:R31" si="18">I14/P14*100</f>
        <v>0</v>
      </c>
      <c r="S14" s="251">
        <f>SUMIFS('tuot-rehukirjanpito'!D:D,'tuot-rehukirjanpito'!A:A,A14)</f>
        <v>0</v>
      </c>
      <c r="T14" s="254">
        <f t="shared" si="10"/>
        <v>1098.9000000000001</v>
      </c>
      <c r="U14" s="254">
        <f t="shared" si="15"/>
        <v>1098.8999999999999</v>
      </c>
      <c r="V14" s="252">
        <f>IF(SUMIFS('tuot-rehukirjanpito'!E:E,'tuot-rehukirjanpito'!A:A,'tuot-PVÄ'!A14)&gt;0,SUMIFS('tuot-rehukirjanpito'!E:E,'tuot-rehukirjanpito'!A:A,'tuot-PVÄ'!A14),V13+S14-T14)</f>
        <v>-13186.799999999997</v>
      </c>
      <c r="W14" s="255">
        <f t="shared" si="3"/>
        <v>-11.999999999999996</v>
      </c>
      <c r="X14" s="256" t="str">
        <f t="shared" si="11"/>
        <v/>
      </c>
      <c r="Y14" s="256" t="str">
        <f t="shared" si="12"/>
        <v/>
      </c>
      <c r="Z14" s="224" t="str">
        <f>IF(IFERROR(INDEX('tuot-rehukirjanpito'!I:I,MATCH(A14,'tuot-rehukirjanpito'!G:G,0)),)=0,"",INDEX('tuot-rehukirjanpito'!I:I,MATCH(A14,'tuot-rehukirjanpito'!G:G,0)))</f>
        <v/>
      </c>
      <c r="AA14" s="224">
        <f>SUMIFS('tuot-INFO'!$K$10:$K$115,'tuot-INFO'!$A$10:$A$115,'tuot-PVÄ'!B14)</f>
        <v>44</v>
      </c>
      <c r="AB14" s="224">
        <f>SUMIFS('rehu-vesi-INFO'!$R:$R,'rehu-vesi-INFO'!$A:$A,'tuot-PVÄ'!B14)</f>
        <v>1282</v>
      </c>
      <c r="AC14" s="224">
        <f>SUMIFS('rehu-vesi-INFO'!$S:$S,'rehu-vesi-INFO'!$A:$A,'tuot-PVÄ'!B14)</f>
        <v>1362</v>
      </c>
      <c r="AD14" s="224">
        <f t="shared" si="4"/>
        <v>80</v>
      </c>
      <c r="AE14" s="224">
        <f t="shared" si="5"/>
        <v>0</v>
      </c>
      <c r="AF14" s="224">
        <f t="shared" si="6"/>
        <v>128.19999999999999</v>
      </c>
      <c r="AG14" s="224">
        <f t="shared" si="7"/>
        <v>8</v>
      </c>
      <c r="AH14" s="257">
        <f t="shared" si="13"/>
        <v>0</v>
      </c>
      <c r="AI14" s="258">
        <f t="shared" si="14"/>
        <v>0</v>
      </c>
      <c r="AJ14" s="55">
        <f>SUMIFS('tuot-INFO'!W:W,'tuot-INFO'!$A:$A,'tuot-PVÄ'!B14)</f>
        <v>9.3000000000000007</v>
      </c>
      <c r="AK14" s="55">
        <f>SUMIFS('tuot-INFO'!X:X,'tuot-INFO'!$A:$A,'tuot-PVÄ'!B14)</f>
        <v>1</v>
      </c>
    </row>
    <row r="15" spans="1:37" x14ac:dyDescent="0.25">
      <c r="A15" s="169">
        <f t="shared" si="8"/>
        <v>42501</v>
      </c>
      <c r="B15" s="23">
        <f>ROUNDUP((A15-Yleistiedot!$B$4)/7,0)</f>
        <v>19</v>
      </c>
      <c r="C15" s="16"/>
      <c r="D15" s="25"/>
      <c r="E15" s="25"/>
      <c r="F15" s="25"/>
      <c r="G15" s="25"/>
      <c r="H15" s="25"/>
      <c r="I15" s="65">
        <f t="shared" si="0"/>
        <v>0</v>
      </c>
      <c r="J15" s="26"/>
      <c r="K15" s="25"/>
      <c r="L15" s="16"/>
      <c r="M15" s="16"/>
      <c r="N15" s="25"/>
      <c r="O15" s="30"/>
      <c r="P15" s="252">
        <f t="shared" si="16"/>
        <v>9990</v>
      </c>
      <c r="Q15" s="253">
        <f t="shared" si="17"/>
        <v>0</v>
      </c>
      <c r="R15" s="253">
        <f t="shared" si="18"/>
        <v>0</v>
      </c>
      <c r="S15" s="251">
        <f>SUMIFS('tuot-rehukirjanpito'!D:D,'tuot-rehukirjanpito'!A:A,A15)</f>
        <v>0</v>
      </c>
      <c r="T15" s="254">
        <f t="shared" si="10"/>
        <v>1098.9000000000001</v>
      </c>
      <c r="U15" s="254">
        <f t="shared" si="15"/>
        <v>1098.8999999999999</v>
      </c>
      <c r="V15" s="252">
        <f>IF(SUMIFS('tuot-rehukirjanpito'!E:E,'tuot-rehukirjanpito'!A:A,'tuot-PVÄ'!A15)&gt;0,SUMIFS('tuot-rehukirjanpito'!E:E,'tuot-rehukirjanpito'!A:A,'tuot-PVÄ'!A15),V14+S15-T15)</f>
        <v>-14285.699999999997</v>
      </c>
      <c r="W15" s="255">
        <f t="shared" si="3"/>
        <v>-12.999999999999996</v>
      </c>
      <c r="X15" s="256" t="str">
        <f t="shared" si="11"/>
        <v/>
      </c>
      <c r="Y15" s="256" t="str">
        <f t="shared" si="12"/>
        <v/>
      </c>
      <c r="Z15" s="224" t="str">
        <f>IF(IFERROR(INDEX('tuot-rehukirjanpito'!I:I,MATCH(A15,'tuot-rehukirjanpito'!G:G,0)),)=0,"",INDEX('tuot-rehukirjanpito'!I:I,MATCH(A15,'tuot-rehukirjanpito'!G:G,0)))</f>
        <v/>
      </c>
      <c r="AA15" s="224">
        <f>SUMIFS('tuot-INFO'!$K$10:$K$115,'tuot-INFO'!$A$10:$A$115,'tuot-PVÄ'!B15)</f>
        <v>44</v>
      </c>
      <c r="AB15" s="224">
        <f>SUMIFS('rehu-vesi-INFO'!$R:$R,'rehu-vesi-INFO'!$A:$A,'tuot-PVÄ'!B15)</f>
        <v>1282</v>
      </c>
      <c r="AC15" s="224">
        <f>SUMIFS('rehu-vesi-INFO'!$S:$S,'rehu-vesi-INFO'!$A:$A,'tuot-PVÄ'!B15)</f>
        <v>1362</v>
      </c>
      <c r="AD15" s="224">
        <f t="shared" si="4"/>
        <v>80</v>
      </c>
      <c r="AE15" s="224">
        <f t="shared" si="5"/>
        <v>0</v>
      </c>
      <c r="AF15" s="224">
        <f t="shared" si="6"/>
        <v>128.19999999999999</v>
      </c>
      <c r="AG15" s="224">
        <f t="shared" si="7"/>
        <v>8</v>
      </c>
      <c r="AH15" s="257">
        <f t="shared" si="13"/>
        <v>0</v>
      </c>
      <c r="AI15" s="258">
        <f t="shared" si="14"/>
        <v>0</v>
      </c>
      <c r="AJ15" s="55">
        <f>SUMIFS('tuot-INFO'!W:W,'tuot-INFO'!$A:$A,'tuot-PVÄ'!B15)</f>
        <v>9.3000000000000007</v>
      </c>
      <c r="AK15" s="55">
        <f>SUMIFS('tuot-INFO'!X:X,'tuot-INFO'!$A:$A,'tuot-PVÄ'!B15)</f>
        <v>1</v>
      </c>
    </row>
    <row r="16" spans="1:37" x14ac:dyDescent="0.25">
      <c r="A16" s="169">
        <f t="shared" si="8"/>
        <v>42502</v>
      </c>
      <c r="B16" s="23">
        <f>ROUNDUP((A16-Yleistiedot!$B$4)/7,0)</f>
        <v>19</v>
      </c>
      <c r="C16" s="16"/>
      <c r="D16" s="25"/>
      <c r="E16" s="25"/>
      <c r="F16" s="25"/>
      <c r="G16" s="25"/>
      <c r="H16" s="25"/>
      <c r="I16" s="65">
        <f t="shared" si="0"/>
        <v>0</v>
      </c>
      <c r="J16" s="26"/>
      <c r="K16" s="25"/>
      <c r="L16" s="16"/>
      <c r="M16" s="16"/>
      <c r="N16" s="25"/>
      <c r="O16" s="176"/>
      <c r="P16" s="252">
        <f t="shared" si="16"/>
        <v>9990</v>
      </c>
      <c r="Q16" s="253">
        <f t="shared" si="17"/>
        <v>0</v>
      </c>
      <c r="R16" s="253">
        <f t="shared" si="18"/>
        <v>0</v>
      </c>
      <c r="S16" s="251">
        <f>SUMIFS('tuot-rehukirjanpito'!D:D,'tuot-rehukirjanpito'!A:A,A16)</f>
        <v>0</v>
      </c>
      <c r="T16" s="254">
        <f t="shared" si="10"/>
        <v>1098.9000000000001</v>
      </c>
      <c r="U16" s="254">
        <f>IFERROR(AVERAGEIF(T10:T16,"&lt;&gt;0"),0)</f>
        <v>1098.8999999999999</v>
      </c>
      <c r="V16" s="252">
        <f>IF(SUMIFS('tuot-rehukirjanpito'!E:E,'tuot-rehukirjanpito'!A:A,'tuot-PVÄ'!A16)&gt;0,SUMIFS('tuot-rehukirjanpito'!E:E,'tuot-rehukirjanpito'!A:A,'tuot-PVÄ'!A16),V15+S16-T16)</f>
        <v>-15384.599999999997</v>
      </c>
      <c r="W16" s="255">
        <f t="shared" si="3"/>
        <v>-13.999999999999996</v>
      </c>
      <c r="X16" s="256" t="str">
        <f t="shared" si="11"/>
        <v/>
      </c>
      <c r="Y16" s="256" t="str">
        <f t="shared" si="12"/>
        <v/>
      </c>
      <c r="Z16" s="224" t="str">
        <f>IF(IFERROR(INDEX('tuot-rehukirjanpito'!I:I,MATCH(A16,'tuot-rehukirjanpito'!G:G,0)),)=0,"",INDEX('tuot-rehukirjanpito'!I:I,MATCH(A16,'tuot-rehukirjanpito'!G:G,0)))</f>
        <v/>
      </c>
      <c r="AA16" s="224">
        <f>SUMIFS('tuot-INFO'!$K$10:$K$115,'tuot-INFO'!$A$10:$A$115,'tuot-PVÄ'!B16)</f>
        <v>44</v>
      </c>
      <c r="AB16" s="224">
        <f>SUMIFS('rehu-vesi-INFO'!$R:$R,'rehu-vesi-INFO'!$A:$A,'tuot-PVÄ'!B16)</f>
        <v>1282</v>
      </c>
      <c r="AC16" s="224">
        <f>SUMIFS('rehu-vesi-INFO'!$S:$S,'rehu-vesi-INFO'!$A:$A,'tuot-PVÄ'!B16)</f>
        <v>1362</v>
      </c>
      <c r="AD16" s="224">
        <f t="shared" si="4"/>
        <v>80</v>
      </c>
      <c r="AE16" s="224">
        <f t="shared" si="5"/>
        <v>0</v>
      </c>
      <c r="AF16" s="224">
        <f t="shared" si="6"/>
        <v>128.19999999999999</v>
      </c>
      <c r="AG16" s="224">
        <f t="shared" si="7"/>
        <v>8</v>
      </c>
      <c r="AH16" s="257">
        <f t="shared" si="13"/>
        <v>0</v>
      </c>
      <c r="AI16" s="258">
        <f t="shared" si="14"/>
        <v>0</v>
      </c>
      <c r="AJ16" s="55">
        <f>SUMIFS('tuot-INFO'!W:W,'tuot-INFO'!$A:$A,'tuot-PVÄ'!B16)</f>
        <v>9.3000000000000007</v>
      </c>
      <c r="AK16" s="55">
        <f>SUMIFS('tuot-INFO'!X:X,'tuot-INFO'!$A:$A,'tuot-PVÄ'!B16)</f>
        <v>1</v>
      </c>
    </row>
    <row r="17" spans="1:37" x14ac:dyDescent="0.25">
      <c r="A17" s="169">
        <f t="shared" si="8"/>
        <v>42503</v>
      </c>
      <c r="B17" s="23">
        <f>ROUNDUP((A17-Yleistiedot!$B$4)/7,0)</f>
        <v>19</v>
      </c>
      <c r="C17" s="16"/>
      <c r="D17" s="25"/>
      <c r="E17" s="25"/>
      <c r="F17" s="25"/>
      <c r="G17" s="25"/>
      <c r="H17" s="25"/>
      <c r="I17" s="65">
        <f t="shared" si="0"/>
        <v>0</v>
      </c>
      <c r="J17" s="26"/>
      <c r="K17" s="25"/>
      <c r="L17" s="16"/>
      <c r="M17" s="16"/>
      <c r="N17" s="25"/>
      <c r="O17" s="30"/>
      <c r="P17" s="252">
        <f t="shared" si="16"/>
        <v>9990</v>
      </c>
      <c r="Q17" s="253">
        <f t="shared" si="17"/>
        <v>0</v>
      </c>
      <c r="R17" s="253">
        <f t="shared" si="18"/>
        <v>0</v>
      </c>
      <c r="S17" s="251">
        <f>SUMIFS('tuot-rehukirjanpito'!D:D,'tuot-rehukirjanpito'!A:A,A17)</f>
        <v>0</v>
      </c>
      <c r="T17" s="254">
        <f t="shared" si="10"/>
        <v>1098.9000000000001</v>
      </c>
      <c r="U17" s="254">
        <f t="shared" si="15"/>
        <v>1098.8999999999999</v>
      </c>
      <c r="V17" s="252">
        <f>IF(SUMIFS('tuot-rehukirjanpito'!E:E,'tuot-rehukirjanpito'!A:A,'tuot-PVÄ'!A17)&gt;0,SUMIFS('tuot-rehukirjanpito'!E:E,'tuot-rehukirjanpito'!A:A,'tuot-PVÄ'!A17),V16+S17-T17)</f>
        <v>-16483.499999999996</v>
      </c>
      <c r="W17" s="255">
        <f t="shared" si="3"/>
        <v>-14.999999999999995</v>
      </c>
      <c r="X17" s="256" t="str">
        <f t="shared" si="11"/>
        <v/>
      </c>
      <c r="Y17" s="256" t="str">
        <f t="shared" si="12"/>
        <v/>
      </c>
      <c r="Z17" s="224" t="str">
        <f>IF(IFERROR(INDEX('tuot-rehukirjanpito'!I:I,MATCH(A17,'tuot-rehukirjanpito'!G:G,0)),)=0,"",INDEX('tuot-rehukirjanpito'!I:I,MATCH(A17,'tuot-rehukirjanpito'!G:G,0)))</f>
        <v/>
      </c>
      <c r="AA17" s="224">
        <f>SUMIFS('tuot-INFO'!$K$10:$K$115,'tuot-INFO'!$A$10:$A$115,'tuot-PVÄ'!B17)</f>
        <v>44</v>
      </c>
      <c r="AB17" s="224">
        <f>SUMIFS('rehu-vesi-INFO'!$R:$R,'rehu-vesi-INFO'!$A:$A,'tuot-PVÄ'!B17)</f>
        <v>1282</v>
      </c>
      <c r="AC17" s="224">
        <f>SUMIFS('rehu-vesi-INFO'!$S:$S,'rehu-vesi-INFO'!$A:$A,'tuot-PVÄ'!B17)</f>
        <v>1362</v>
      </c>
      <c r="AD17" s="224">
        <f t="shared" si="4"/>
        <v>80</v>
      </c>
      <c r="AE17" s="224">
        <f t="shared" si="5"/>
        <v>0</v>
      </c>
      <c r="AF17" s="224">
        <f t="shared" si="6"/>
        <v>128.19999999999999</v>
      </c>
      <c r="AG17" s="224">
        <f t="shared" si="7"/>
        <v>8</v>
      </c>
      <c r="AH17" s="257">
        <f t="shared" si="13"/>
        <v>0</v>
      </c>
      <c r="AI17" s="258">
        <f t="shared" si="14"/>
        <v>0</v>
      </c>
      <c r="AJ17" s="55">
        <f>SUMIFS('tuot-INFO'!W:W,'tuot-INFO'!$A:$A,'tuot-PVÄ'!B17)</f>
        <v>9.3000000000000007</v>
      </c>
      <c r="AK17" s="55">
        <f>SUMIFS('tuot-INFO'!X:X,'tuot-INFO'!$A:$A,'tuot-PVÄ'!B17)</f>
        <v>1</v>
      </c>
    </row>
    <row r="18" spans="1:37" x14ac:dyDescent="0.25">
      <c r="A18" s="169">
        <f t="shared" si="8"/>
        <v>42504</v>
      </c>
      <c r="B18" s="23">
        <f>ROUNDUP((A18-Yleistiedot!$B$4)/7,0)</f>
        <v>20</v>
      </c>
      <c r="C18" s="16"/>
      <c r="D18" s="25"/>
      <c r="E18" s="25"/>
      <c r="F18" s="25"/>
      <c r="G18" s="25"/>
      <c r="H18" s="25"/>
      <c r="I18" s="65">
        <f t="shared" si="0"/>
        <v>0</v>
      </c>
      <c r="J18" s="26"/>
      <c r="K18" s="25"/>
      <c r="L18" s="16"/>
      <c r="M18" s="16"/>
      <c r="N18" s="25"/>
      <c r="O18" s="30"/>
      <c r="P18" s="252">
        <f t="shared" si="16"/>
        <v>9990</v>
      </c>
      <c r="Q18" s="253">
        <f t="shared" si="17"/>
        <v>0</v>
      </c>
      <c r="R18" s="253">
        <f t="shared" si="18"/>
        <v>0</v>
      </c>
      <c r="S18" s="251">
        <f>SUMIFS('tuot-rehukirjanpito'!D:D,'tuot-rehukirjanpito'!A:A,A18)</f>
        <v>0</v>
      </c>
      <c r="T18" s="254">
        <f t="shared" si="10"/>
        <v>1098.9000000000001</v>
      </c>
      <c r="U18" s="254">
        <f t="shared" si="15"/>
        <v>1098.8999999999999</v>
      </c>
      <c r="V18" s="252">
        <f>IF(SUMIFS('tuot-rehukirjanpito'!E:E,'tuot-rehukirjanpito'!A:A,'tuot-PVÄ'!A18)&gt;0,SUMIFS('tuot-rehukirjanpito'!E:E,'tuot-rehukirjanpito'!A:A,'tuot-PVÄ'!A18),V17+S18-T18)</f>
        <v>-17582.399999999998</v>
      </c>
      <c r="W18" s="255">
        <f t="shared" si="3"/>
        <v>-15.999999999999996</v>
      </c>
      <c r="X18" s="256" t="str">
        <f t="shared" si="11"/>
        <v/>
      </c>
      <c r="Y18" s="256" t="str">
        <f t="shared" si="12"/>
        <v/>
      </c>
      <c r="Z18" s="224" t="str">
        <f>IF(IFERROR(INDEX('tuot-rehukirjanpito'!I:I,MATCH(A18,'tuot-rehukirjanpito'!G:G,0)),)=0,"",INDEX('tuot-rehukirjanpito'!I:I,MATCH(A18,'tuot-rehukirjanpito'!G:G,0)))</f>
        <v/>
      </c>
      <c r="AA18" s="224">
        <f>SUMIFS('tuot-INFO'!$K$10:$K$115,'tuot-INFO'!$A$10:$A$115,'tuot-PVÄ'!B18)</f>
        <v>48</v>
      </c>
      <c r="AB18" s="224">
        <f>SUMIFS('rehu-vesi-INFO'!$R:$R,'rehu-vesi-INFO'!$A:$A,'tuot-PVÄ'!B18)</f>
        <v>1344</v>
      </c>
      <c r="AC18" s="224">
        <f>SUMIFS('rehu-vesi-INFO'!$S:$S,'rehu-vesi-INFO'!$A:$A,'tuot-PVÄ'!B18)</f>
        <v>1428</v>
      </c>
      <c r="AD18" s="224">
        <f t="shared" si="4"/>
        <v>84</v>
      </c>
      <c r="AE18" s="224">
        <f t="shared" si="5"/>
        <v>0</v>
      </c>
      <c r="AF18" s="224">
        <f t="shared" si="6"/>
        <v>134.4</v>
      </c>
      <c r="AG18" s="224">
        <f t="shared" si="7"/>
        <v>8.4</v>
      </c>
      <c r="AH18" s="257">
        <f t="shared" si="13"/>
        <v>0</v>
      </c>
      <c r="AI18" s="258">
        <f t="shared" si="14"/>
        <v>0</v>
      </c>
      <c r="AJ18" s="55">
        <f>SUMIFS('tuot-INFO'!W:W,'tuot-INFO'!$A:$A,'tuot-PVÄ'!B18)</f>
        <v>37.200000000000003</v>
      </c>
      <c r="AK18" s="55">
        <f>SUMIFS('tuot-INFO'!X:X,'tuot-INFO'!$A:$A,'tuot-PVÄ'!B18)</f>
        <v>4</v>
      </c>
    </row>
    <row r="19" spans="1:37" x14ac:dyDescent="0.25">
      <c r="A19" s="169">
        <f t="shared" si="8"/>
        <v>42505</v>
      </c>
      <c r="B19" s="23">
        <f>ROUNDUP((A19-Yleistiedot!$B$4)/7,0)</f>
        <v>20</v>
      </c>
      <c r="C19" s="16"/>
      <c r="D19" s="25"/>
      <c r="E19" s="25"/>
      <c r="F19" s="25"/>
      <c r="G19" s="25"/>
      <c r="H19" s="25"/>
      <c r="I19" s="65">
        <f t="shared" si="0"/>
        <v>0</v>
      </c>
      <c r="J19" s="26"/>
      <c r="K19" s="25"/>
      <c r="L19" s="16"/>
      <c r="M19" s="16"/>
      <c r="N19" s="25"/>
      <c r="O19" s="30"/>
      <c r="P19" s="252">
        <f t="shared" si="16"/>
        <v>9990</v>
      </c>
      <c r="Q19" s="253">
        <f t="shared" si="17"/>
        <v>0</v>
      </c>
      <c r="R19" s="253">
        <f t="shared" si="18"/>
        <v>0</v>
      </c>
      <c r="S19" s="251">
        <f>SUMIFS('tuot-rehukirjanpito'!D:D,'tuot-rehukirjanpito'!A:A,A19)</f>
        <v>0</v>
      </c>
      <c r="T19" s="254">
        <f t="shared" si="10"/>
        <v>1098.9000000000001</v>
      </c>
      <c r="U19" s="254">
        <f t="shared" si="15"/>
        <v>1098.8999999999999</v>
      </c>
      <c r="V19" s="252">
        <f>IF(SUMIFS('tuot-rehukirjanpito'!E:E,'tuot-rehukirjanpito'!A:A,'tuot-PVÄ'!A19)&gt;0,SUMIFS('tuot-rehukirjanpito'!E:E,'tuot-rehukirjanpito'!A:A,'tuot-PVÄ'!A19),V18+S19-T19)</f>
        <v>-18681.3</v>
      </c>
      <c r="W19" s="255">
        <f t="shared" si="3"/>
        <v>-16.999999999999996</v>
      </c>
      <c r="X19" s="256" t="str">
        <f t="shared" si="11"/>
        <v/>
      </c>
      <c r="Y19" s="256" t="str">
        <f t="shared" si="12"/>
        <v/>
      </c>
      <c r="Z19" s="224" t="str">
        <f>IF(IFERROR(INDEX('tuot-rehukirjanpito'!I:I,MATCH(A19,'tuot-rehukirjanpito'!G:G,0)),)=0,"",INDEX('tuot-rehukirjanpito'!I:I,MATCH(A19,'tuot-rehukirjanpito'!G:G,0)))</f>
        <v/>
      </c>
      <c r="AA19" s="224">
        <f>SUMIFS('tuot-INFO'!$K$10:$K$115,'tuot-INFO'!$A$10:$A$115,'tuot-PVÄ'!B19)</f>
        <v>48</v>
      </c>
      <c r="AB19" s="224">
        <f>SUMIFS('rehu-vesi-INFO'!$R:$R,'rehu-vesi-INFO'!$A:$A,'tuot-PVÄ'!B19)</f>
        <v>1344</v>
      </c>
      <c r="AC19" s="224">
        <f>SUMIFS('rehu-vesi-INFO'!$S:$S,'rehu-vesi-INFO'!$A:$A,'tuot-PVÄ'!B19)</f>
        <v>1428</v>
      </c>
      <c r="AD19" s="224">
        <f t="shared" si="4"/>
        <v>84</v>
      </c>
      <c r="AE19" s="224">
        <f t="shared" si="5"/>
        <v>0</v>
      </c>
      <c r="AF19" s="224">
        <f t="shared" si="6"/>
        <v>134.4</v>
      </c>
      <c r="AG19" s="224">
        <f t="shared" si="7"/>
        <v>8.4</v>
      </c>
      <c r="AH19" s="257">
        <f t="shared" si="13"/>
        <v>0</v>
      </c>
      <c r="AI19" s="258">
        <f t="shared" si="14"/>
        <v>0</v>
      </c>
      <c r="AJ19" s="55">
        <f>SUMIFS('tuot-INFO'!W:W,'tuot-INFO'!$A:$A,'tuot-PVÄ'!B19)</f>
        <v>37.200000000000003</v>
      </c>
      <c r="AK19" s="55">
        <f>SUMIFS('tuot-INFO'!X:X,'tuot-INFO'!$A:$A,'tuot-PVÄ'!B19)</f>
        <v>4</v>
      </c>
    </row>
    <row r="20" spans="1:37" x14ac:dyDescent="0.25">
      <c r="A20" s="169">
        <f t="shared" si="8"/>
        <v>42506</v>
      </c>
      <c r="B20" s="23">
        <f>ROUNDUP((A20-Yleistiedot!$B$4)/7,0)</f>
        <v>20</v>
      </c>
      <c r="C20" s="16"/>
      <c r="D20" s="25"/>
      <c r="E20" s="25"/>
      <c r="F20" s="25"/>
      <c r="G20" s="25"/>
      <c r="H20" s="25"/>
      <c r="I20" s="65">
        <f t="shared" si="0"/>
        <v>0</v>
      </c>
      <c r="J20" s="26"/>
      <c r="K20" s="25"/>
      <c r="L20" s="16"/>
      <c r="M20" s="16"/>
      <c r="N20" s="25"/>
      <c r="O20" s="30"/>
      <c r="P20" s="252">
        <f t="shared" si="16"/>
        <v>9990</v>
      </c>
      <c r="Q20" s="253">
        <f t="shared" si="17"/>
        <v>0</v>
      </c>
      <c r="R20" s="253">
        <f t="shared" si="18"/>
        <v>0</v>
      </c>
      <c r="S20" s="251">
        <f>SUMIFS('tuot-rehukirjanpito'!D:D,'tuot-rehukirjanpito'!A:A,A20)</f>
        <v>0</v>
      </c>
      <c r="T20" s="254">
        <f t="shared" si="10"/>
        <v>1098.9000000000001</v>
      </c>
      <c r="U20" s="254">
        <f t="shared" si="15"/>
        <v>1098.8999999999999</v>
      </c>
      <c r="V20" s="252">
        <f>IF(SUMIFS('tuot-rehukirjanpito'!E:E,'tuot-rehukirjanpito'!A:A,'tuot-PVÄ'!A20)&gt;0,SUMIFS('tuot-rehukirjanpito'!E:E,'tuot-rehukirjanpito'!A:A,'tuot-PVÄ'!A20),V19+S20-T20)</f>
        <v>-19780.2</v>
      </c>
      <c r="W20" s="255">
        <f t="shared" si="3"/>
        <v>-18</v>
      </c>
      <c r="X20" s="256" t="str">
        <f t="shared" si="11"/>
        <v/>
      </c>
      <c r="Y20" s="256" t="str">
        <f t="shared" si="12"/>
        <v/>
      </c>
      <c r="Z20" s="224" t="str">
        <f>IF(IFERROR(INDEX('tuot-rehukirjanpito'!I:I,MATCH(A20,'tuot-rehukirjanpito'!G:G,0)),)=0,"",INDEX('tuot-rehukirjanpito'!I:I,MATCH(A20,'tuot-rehukirjanpito'!G:G,0)))</f>
        <v/>
      </c>
      <c r="AA20" s="224">
        <f>SUMIFS('tuot-INFO'!$K$10:$K$115,'tuot-INFO'!$A$10:$A$115,'tuot-PVÄ'!B20)</f>
        <v>48</v>
      </c>
      <c r="AB20" s="224">
        <f>SUMIFS('rehu-vesi-INFO'!$R:$R,'rehu-vesi-INFO'!$A:$A,'tuot-PVÄ'!B20)</f>
        <v>1344</v>
      </c>
      <c r="AC20" s="224">
        <f>SUMIFS('rehu-vesi-INFO'!$S:$S,'rehu-vesi-INFO'!$A:$A,'tuot-PVÄ'!B20)</f>
        <v>1428</v>
      </c>
      <c r="AD20" s="224">
        <f t="shared" si="4"/>
        <v>84</v>
      </c>
      <c r="AE20" s="224">
        <f t="shared" si="5"/>
        <v>0</v>
      </c>
      <c r="AF20" s="224">
        <f t="shared" si="6"/>
        <v>134.4</v>
      </c>
      <c r="AG20" s="224">
        <f t="shared" si="7"/>
        <v>8.4</v>
      </c>
      <c r="AH20" s="257">
        <f t="shared" si="13"/>
        <v>0</v>
      </c>
      <c r="AI20" s="258">
        <f t="shared" si="14"/>
        <v>0</v>
      </c>
      <c r="AJ20" s="55">
        <f>SUMIFS('tuot-INFO'!W:W,'tuot-INFO'!$A:$A,'tuot-PVÄ'!B20)</f>
        <v>37.200000000000003</v>
      </c>
      <c r="AK20" s="55">
        <f>SUMIFS('tuot-INFO'!X:X,'tuot-INFO'!$A:$A,'tuot-PVÄ'!B20)</f>
        <v>4</v>
      </c>
    </row>
    <row r="21" spans="1:37" x14ac:dyDescent="0.25">
      <c r="A21" s="169">
        <f t="shared" si="8"/>
        <v>42507</v>
      </c>
      <c r="B21" s="23">
        <f>ROUNDUP((A21-Yleistiedot!$B$4)/7,0)</f>
        <v>20</v>
      </c>
      <c r="C21" s="16"/>
      <c r="D21" s="25"/>
      <c r="E21" s="25"/>
      <c r="F21" s="25"/>
      <c r="G21" s="25"/>
      <c r="H21" s="25"/>
      <c r="I21" s="65">
        <f t="shared" si="0"/>
        <v>0</v>
      </c>
      <c r="J21" s="26"/>
      <c r="K21" s="25"/>
      <c r="L21" s="16"/>
      <c r="M21" s="16"/>
      <c r="N21" s="25"/>
      <c r="O21" s="30"/>
      <c r="P21" s="252">
        <f t="shared" si="16"/>
        <v>9990</v>
      </c>
      <c r="Q21" s="253">
        <f t="shared" si="17"/>
        <v>0</v>
      </c>
      <c r="R21" s="253">
        <f t="shared" si="18"/>
        <v>0</v>
      </c>
      <c r="S21" s="251">
        <f>SUMIFS('tuot-rehukirjanpito'!D:D,'tuot-rehukirjanpito'!A:A,A21)</f>
        <v>0</v>
      </c>
      <c r="T21" s="254">
        <f t="shared" si="10"/>
        <v>1098.9000000000001</v>
      </c>
      <c r="U21" s="254">
        <f t="shared" si="15"/>
        <v>1098.8999999999999</v>
      </c>
      <c r="V21" s="252">
        <f>IF(SUMIFS('tuot-rehukirjanpito'!E:E,'tuot-rehukirjanpito'!A:A,'tuot-PVÄ'!A21)&gt;0,SUMIFS('tuot-rehukirjanpito'!E:E,'tuot-rehukirjanpito'!A:A,'tuot-PVÄ'!A21),V20+S21-T21)</f>
        <v>-20879.100000000002</v>
      </c>
      <c r="W21" s="255">
        <f t="shared" si="3"/>
        <v>-19</v>
      </c>
      <c r="X21" s="256" t="str">
        <f t="shared" si="11"/>
        <v/>
      </c>
      <c r="Y21" s="256" t="str">
        <f t="shared" si="12"/>
        <v/>
      </c>
      <c r="Z21" s="224" t="str">
        <f>IF(IFERROR(INDEX('tuot-rehukirjanpito'!I:I,MATCH(A21,'tuot-rehukirjanpito'!G:G,0)),)=0,"",INDEX('tuot-rehukirjanpito'!I:I,MATCH(A21,'tuot-rehukirjanpito'!G:G,0)))</f>
        <v/>
      </c>
      <c r="AA21" s="224">
        <f>SUMIFS('tuot-INFO'!$K$10:$K$115,'tuot-INFO'!$A$10:$A$115,'tuot-PVÄ'!B21)</f>
        <v>48</v>
      </c>
      <c r="AB21" s="224">
        <f>SUMIFS('rehu-vesi-INFO'!$R:$R,'rehu-vesi-INFO'!$A:$A,'tuot-PVÄ'!B21)</f>
        <v>1344</v>
      </c>
      <c r="AC21" s="224">
        <f>SUMIFS('rehu-vesi-INFO'!$S:$S,'rehu-vesi-INFO'!$A:$A,'tuot-PVÄ'!B21)</f>
        <v>1428</v>
      </c>
      <c r="AD21" s="224">
        <f t="shared" si="4"/>
        <v>84</v>
      </c>
      <c r="AE21" s="224">
        <f t="shared" si="5"/>
        <v>0</v>
      </c>
      <c r="AF21" s="224">
        <f t="shared" si="6"/>
        <v>134.4</v>
      </c>
      <c r="AG21" s="224">
        <f t="shared" si="7"/>
        <v>8.4</v>
      </c>
      <c r="AH21" s="257">
        <f t="shared" si="13"/>
        <v>0</v>
      </c>
      <c r="AI21" s="258">
        <f t="shared" si="14"/>
        <v>0</v>
      </c>
      <c r="AJ21" s="55">
        <f>SUMIFS('tuot-INFO'!W:W,'tuot-INFO'!$A:$A,'tuot-PVÄ'!B21)</f>
        <v>37.200000000000003</v>
      </c>
      <c r="AK21" s="55">
        <f>SUMIFS('tuot-INFO'!X:X,'tuot-INFO'!$A:$A,'tuot-PVÄ'!B21)</f>
        <v>4</v>
      </c>
    </row>
    <row r="22" spans="1:37" x14ac:dyDescent="0.25">
      <c r="A22" s="169">
        <f t="shared" si="8"/>
        <v>42508</v>
      </c>
      <c r="B22" s="23">
        <f>ROUNDUP((A22-Yleistiedot!$B$4)/7,0)</f>
        <v>20</v>
      </c>
      <c r="C22" s="16"/>
      <c r="D22" s="25"/>
      <c r="E22" s="25"/>
      <c r="F22" s="25"/>
      <c r="G22" s="25"/>
      <c r="H22" s="25"/>
      <c r="I22" s="65">
        <f t="shared" si="0"/>
        <v>0</v>
      </c>
      <c r="J22" s="26"/>
      <c r="K22" s="25"/>
      <c r="L22" s="16"/>
      <c r="M22" s="16"/>
      <c r="N22" s="25"/>
      <c r="O22" s="176"/>
      <c r="P22" s="252">
        <f t="shared" si="16"/>
        <v>9990</v>
      </c>
      <c r="Q22" s="253">
        <f t="shared" si="17"/>
        <v>0</v>
      </c>
      <c r="R22" s="253">
        <f t="shared" si="18"/>
        <v>0</v>
      </c>
      <c r="S22" s="251">
        <f>SUMIFS('tuot-rehukirjanpito'!D:D,'tuot-rehukirjanpito'!A:A,A22)</f>
        <v>0</v>
      </c>
      <c r="T22" s="254">
        <f t="shared" si="10"/>
        <v>1098.9000000000001</v>
      </c>
      <c r="U22" s="254">
        <f t="shared" si="15"/>
        <v>1098.8999999999999</v>
      </c>
      <c r="V22" s="252">
        <f>IF(SUMIFS('tuot-rehukirjanpito'!E:E,'tuot-rehukirjanpito'!A:A,'tuot-PVÄ'!A22)&gt;0,SUMIFS('tuot-rehukirjanpito'!E:E,'tuot-rehukirjanpito'!A:A,'tuot-PVÄ'!A22),V21+S22-T22)</f>
        <v>-21978.000000000004</v>
      </c>
      <c r="W22" s="255">
        <f t="shared" si="3"/>
        <v>-20</v>
      </c>
      <c r="X22" s="256" t="str">
        <f t="shared" si="11"/>
        <v/>
      </c>
      <c r="Y22" s="256" t="str">
        <f t="shared" si="12"/>
        <v/>
      </c>
      <c r="Z22" s="224" t="str">
        <f>IF(IFERROR(INDEX('tuot-rehukirjanpito'!I:I,MATCH(A22,'tuot-rehukirjanpito'!G:G,0)),)=0,"",INDEX('tuot-rehukirjanpito'!I:I,MATCH(A22,'tuot-rehukirjanpito'!G:G,0)))</f>
        <v/>
      </c>
      <c r="AA22" s="224">
        <f>SUMIFS('tuot-INFO'!$K$10:$K$115,'tuot-INFO'!$A$10:$A$115,'tuot-PVÄ'!B22)</f>
        <v>48</v>
      </c>
      <c r="AB22" s="224">
        <f>SUMIFS('rehu-vesi-INFO'!$R:$R,'rehu-vesi-INFO'!$A:$A,'tuot-PVÄ'!B22)</f>
        <v>1344</v>
      </c>
      <c r="AC22" s="224">
        <f>SUMIFS('rehu-vesi-INFO'!$S:$S,'rehu-vesi-INFO'!$A:$A,'tuot-PVÄ'!B22)</f>
        <v>1428</v>
      </c>
      <c r="AD22" s="224">
        <f t="shared" si="4"/>
        <v>84</v>
      </c>
      <c r="AE22" s="224">
        <f t="shared" si="5"/>
        <v>0</v>
      </c>
      <c r="AF22" s="224">
        <f t="shared" si="6"/>
        <v>134.4</v>
      </c>
      <c r="AG22" s="224">
        <f t="shared" si="7"/>
        <v>8.4</v>
      </c>
      <c r="AH22" s="257">
        <f t="shared" si="13"/>
        <v>0</v>
      </c>
      <c r="AI22" s="258">
        <f t="shared" si="14"/>
        <v>0</v>
      </c>
      <c r="AJ22" s="55">
        <f>SUMIFS('tuot-INFO'!W:W,'tuot-INFO'!$A:$A,'tuot-PVÄ'!B22)</f>
        <v>37.200000000000003</v>
      </c>
      <c r="AK22" s="55">
        <f>SUMIFS('tuot-INFO'!X:X,'tuot-INFO'!$A:$A,'tuot-PVÄ'!B22)</f>
        <v>4</v>
      </c>
    </row>
    <row r="23" spans="1:37" x14ac:dyDescent="0.25">
      <c r="A23" s="169">
        <f t="shared" si="8"/>
        <v>42509</v>
      </c>
      <c r="B23" s="23">
        <f>ROUNDUP((A23-Yleistiedot!$B$4)/7,0)</f>
        <v>20</v>
      </c>
      <c r="C23" s="16"/>
      <c r="D23" s="25"/>
      <c r="E23" s="25"/>
      <c r="F23" s="25"/>
      <c r="G23" s="25"/>
      <c r="H23" s="25"/>
      <c r="I23" s="65">
        <f t="shared" si="0"/>
        <v>0</v>
      </c>
      <c r="J23" s="26"/>
      <c r="K23" s="25"/>
      <c r="L23" s="16"/>
      <c r="M23" s="16"/>
      <c r="N23" s="25"/>
      <c r="O23" s="176"/>
      <c r="P23" s="252">
        <f t="shared" si="16"/>
        <v>9990</v>
      </c>
      <c r="Q23" s="253">
        <f t="shared" si="17"/>
        <v>0</v>
      </c>
      <c r="R23" s="253">
        <f t="shared" si="18"/>
        <v>0</v>
      </c>
      <c r="S23" s="251">
        <f>SUMIFS('tuot-rehukirjanpito'!D:D,'tuot-rehukirjanpito'!A:A,A23)</f>
        <v>0</v>
      </c>
      <c r="T23" s="254">
        <f t="shared" si="10"/>
        <v>1098.9000000000001</v>
      </c>
      <c r="U23" s="254">
        <f t="shared" si="15"/>
        <v>1098.8999999999999</v>
      </c>
      <c r="V23" s="252">
        <f>IF(SUMIFS('tuot-rehukirjanpito'!E:E,'tuot-rehukirjanpito'!A:A,'tuot-PVÄ'!A23)&gt;0,SUMIFS('tuot-rehukirjanpito'!E:E,'tuot-rehukirjanpito'!A:A,'tuot-PVÄ'!A23),V22+S23-T23)</f>
        <v>-23076.900000000005</v>
      </c>
      <c r="W23" s="255">
        <f t="shared" si="3"/>
        <v>-21.000000000000004</v>
      </c>
      <c r="X23" s="256" t="str">
        <f t="shared" ref="X23:X86" si="19">IF(S23&lt;&gt;0,ROUND(A23+W22,0),"")</f>
        <v/>
      </c>
      <c r="Y23" s="256" t="str">
        <f t="shared" ref="Y23:Y86" si="20">IF(S23&lt;&gt;0,ROUND(A23+W23,0),"")</f>
        <v/>
      </c>
      <c r="Z23" s="224" t="str">
        <f>IF(IFERROR(INDEX('tuot-rehukirjanpito'!I:I,MATCH(A23,'tuot-rehukirjanpito'!G:G,0)),)=0,"",INDEX('tuot-rehukirjanpito'!I:I,MATCH(A23,'tuot-rehukirjanpito'!G:G,0)))</f>
        <v/>
      </c>
      <c r="AA23" s="224">
        <f>SUMIFS('tuot-INFO'!$K$10:$K$115,'tuot-INFO'!$A$10:$A$115,'tuot-PVÄ'!B23)</f>
        <v>48</v>
      </c>
      <c r="AB23" s="224">
        <f>SUMIFS('rehu-vesi-INFO'!$R:$R,'rehu-vesi-INFO'!$A:$A,'tuot-PVÄ'!B23)</f>
        <v>1344</v>
      </c>
      <c r="AC23" s="224">
        <f>SUMIFS('rehu-vesi-INFO'!$S:$S,'rehu-vesi-INFO'!$A:$A,'tuot-PVÄ'!B23)</f>
        <v>1428</v>
      </c>
      <c r="AD23" s="224">
        <f t="shared" si="4"/>
        <v>84</v>
      </c>
      <c r="AE23" s="224">
        <f t="shared" si="5"/>
        <v>0</v>
      </c>
      <c r="AF23" s="224">
        <f t="shared" si="6"/>
        <v>134.4</v>
      </c>
      <c r="AG23" s="224">
        <f t="shared" si="7"/>
        <v>8.4</v>
      </c>
      <c r="AH23" s="257">
        <f t="shared" si="13"/>
        <v>0</v>
      </c>
      <c r="AI23" s="258">
        <f t="shared" si="14"/>
        <v>0</v>
      </c>
      <c r="AJ23" s="55">
        <f>SUMIFS('tuot-INFO'!W:W,'tuot-INFO'!$A:$A,'tuot-PVÄ'!B23)</f>
        <v>37.200000000000003</v>
      </c>
      <c r="AK23" s="55">
        <f>SUMIFS('tuot-INFO'!X:X,'tuot-INFO'!$A:$A,'tuot-PVÄ'!B23)</f>
        <v>4</v>
      </c>
    </row>
    <row r="24" spans="1:37" x14ac:dyDescent="0.25">
      <c r="A24" s="169">
        <f t="shared" si="8"/>
        <v>42510</v>
      </c>
      <c r="B24" s="23">
        <f>ROUNDUP((A24-Yleistiedot!$B$4)/7,0)</f>
        <v>20</v>
      </c>
      <c r="C24" s="16"/>
      <c r="D24" s="25"/>
      <c r="E24" s="25"/>
      <c r="F24" s="25"/>
      <c r="G24" s="25"/>
      <c r="H24" s="25"/>
      <c r="I24" s="65">
        <f t="shared" si="0"/>
        <v>0</v>
      </c>
      <c r="J24" s="26"/>
      <c r="K24" s="25"/>
      <c r="L24" s="16"/>
      <c r="M24" s="16"/>
      <c r="N24" s="25"/>
      <c r="O24" s="30"/>
      <c r="P24" s="252">
        <f t="shared" si="16"/>
        <v>9990</v>
      </c>
      <c r="Q24" s="253">
        <f t="shared" si="17"/>
        <v>0</v>
      </c>
      <c r="R24" s="253">
        <f t="shared" si="18"/>
        <v>0</v>
      </c>
      <c r="S24" s="251">
        <f>SUMIFS('tuot-rehukirjanpito'!D:D,'tuot-rehukirjanpito'!A:A,A24)</f>
        <v>0</v>
      </c>
      <c r="T24" s="254">
        <f t="shared" si="10"/>
        <v>1098.9000000000001</v>
      </c>
      <c r="U24" s="254">
        <f>IFERROR(AVERAGEIF(T18:T24,"&lt;&gt;0"),0)</f>
        <v>1098.8999999999999</v>
      </c>
      <c r="V24" s="252">
        <f>IF(SUMIFS('tuot-rehukirjanpito'!E:E,'tuot-rehukirjanpito'!A:A,'tuot-PVÄ'!A24)&gt;0,SUMIFS('tuot-rehukirjanpito'!E:E,'tuot-rehukirjanpito'!A:A,'tuot-PVÄ'!A24),V23+S24-T24)</f>
        <v>-24175.800000000007</v>
      </c>
      <c r="W24" s="255">
        <f t="shared" si="3"/>
        <v>-22.000000000000004</v>
      </c>
      <c r="X24" s="256" t="str">
        <f t="shared" si="19"/>
        <v/>
      </c>
      <c r="Y24" s="256" t="str">
        <f t="shared" si="20"/>
        <v/>
      </c>
      <c r="Z24" s="224" t="str">
        <f>IF(IFERROR(INDEX('tuot-rehukirjanpito'!I:I,MATCH(A24,'tuot-rehukirjanpito'!G:G,0)),)=0,"",INDEX('tuot-rehukirjanpito'!I:I,MATCH(A24,'tuot-rehukirjanpito'!G:G,0)))</f>
        <v/>
      </c>
      <c r="AA24" s="224">
        <f>SUMIFS('tuot-INFO'!$K$10:$K$115,'tuot-INFO'!$A$10:$A$115,'tuot-PVÄ'!B24)</f>
        <v>48</v>
      </c>
      <c r="AB24" s="224">
        <f>SUMIFS('rehu-vesi-INFO'!$R:$R,'rehu-vesi-INFO'!$A:$A,'tuot-PVÄ'!B24)</f>
        <v>1344</v>
      </c>
      <c r="AC24" s="224">
        <f>SUMIFS('rehu-vesi-INFO'!$S:$S,'rehu-vesi-INFO'!$A:$A,'tuot-PVÄ'!B24)</f>
        <v>1428</v>
      </c>
      <c r="AD24" s="224">
        <f t="shared" si="4"/>
        <v>84</v>
      </c>
      <c r="AE24" s="224">
        <f t="shared" si="5"/>
        <v>0</v>
      </c>
      <c r="AF24" s="224">
        <f t="shared" si="6"/>
        <v>134.4</v>
      </c>
      <c r="AG24" s="224">
        <f t="shared" si="7"/>
        <v>8.4</v>
      </c>
      <c r="AH24" s="257">
        <f t="shared" si="13"/>
        <v>0</v>
      </c>
      <c r="AI24" s="258">
        <f t="shared" si="14"/>
        <v>0</v>
      </c>
      <c r="AJ24" s="55">
        <f>SUMIFS('tuot-INFO'!W:W,'tuot-INFO'!$A:$A,'tuot-PVÄ'!B24)</f>
        <v>37.200000000000003</v>
      </c>
      <c r="AK24" s="55">
        <f>SUMIFS('tuot-INFO'!X:X,'tuot-INFO'!$A:$A,'tuot-PVÄ'!B24)</f>
        <v>4</v>
      </c>
    </row>
    <row r="25" spans="1:37" x14ac:dyDescent="0.25">
      <c r="A25" s="169">
        <f t="shared" si="8"/>
        <v>42511</v>
      </c>
      <c r="B25" s="23">
        <f>ROUNDUP((A25-Yleistiedot!$B$4)/7,0)</f>
        <v>21</v>
      </c>
      <c r="C25" s="16"/>
      <c r="D25" s="25"/>
      <c r="E25" s="25"/>
      <c r="F25" s="25"/>
      <c r="G25" s="25"/>
      <c r="H25" s="25"/>
      <c r="I25" s="65">
        <f t="shared" si="0"/>
        <v>0</v>
      </c>
      <c r="J25" s="26"/>
      <c r="K25" s="25"/>
      <c r="L25" s="16"/>
      <c r="M25" s="16"/>
      <c r="N25" s="25"/>
      <c r="O25" s="30"/>
      <c r="P25" s="252">
        <f t="shared" si="16"/>
        <v>9990</v>
      </c>
      <c r="Q25" s="253">
        <f t="shared" si="17"/>
        <v>0</v>
      </c>
      <c r="R25" s="253">
        <f t="shared" si="18"/>
        <v>0</v>
      </c>
      <c r="S25" s="251">
        <f>SUMIFS('tuot-rehukirjanpito'!D:D,'tuot-rehukirjanpito'!A:A,A25)</f>
        <v>0</v>
      </c>
      <c r="T25" s="254">
        <f t="shared" si="10"/>
        <v>1098.9000000000001</v>
      </c>
      <c r="U25" s="254">
        <f t="shared" ref="U25:U88" si="21">IFERROR(AVERAGEIF(T19:T25,"&lt;&gt;0"),0)</f>
        <v>1098.8999999999999</v>
      </c>
      <c r="V25" s="252">
        <f>IF(SUMIFS('tuot-rehukirjanpito'!E:E,'tuot-rehukirjanpito'!A:A,'tuot-PVÄ'!A25)&gt;0,SUMIFS('tuot-rehukirjanpito'!E:E,'tuot-rehukirjanpito'!A:A,'tuot-PVÄ'!A25),V24+S25-T25)</f>
        <v>-25274.700000000008</v>
      </c>
      <c r="W25" s="255">
        <f t="shared" si="3"/>
        <v>-23.000000000000007</v>
      </c>
      <c r="X25" s="256" t="str">
        <f t="shared" si="19"/>
        <v/>
      </c>
      <c r="Y25" s="256" t="str">
        <f t="shared" si="20"/>
        <v/>
      </c>
      <c r="Z25" s="224" t="str">
        <f>IF(IFERROR(INDEX('tuot-rehukirjanpito'!I:I,MATCH(A25,'tuot-rehukirjanpito'!G:G,0)),)=0,"",INDEX('tuot-rehukirjanpito'!I:I,MATCH(A25,'tuot-rehukirjanpito'!G:G,0)))</f>
        <v/>
      </c>
      <c r="AA25" s="224">
        <f>SUMIFS('tuot-INFO'!$K$10:$K$115,'tuot-INFO'!$A$10:$A$115,'tuot-PVÄ'!B25)</f>
        <v>51</v>
      </c>
      <c r="AB25" s="224">
        <f>SUMIFS('rehu-vesi-INFO'!$R:$R,'rehu-vesi-INFO'!$A:$A,'tuot-PVÄ'!B25)</f>
        <v>1407</v>
      </c>
      <c r="AC25" s="224">
        <f>SUMIFS('rehu-vesi-INFO'!$S:$S,'rehu-vesi-INFO'!$A:$A,'tuot-PVÄ'!B25)</f>
        <v>1494</v>
      </c>
      <c r="AD25" s="224">
        <f t="shared" si="4"/>
        <v>87</v>
      </c>
      <c r="AE25" s="224">
        <f t="shared" si="5"/>
        <v>0</v>
      </c>
      <c r="AF25" s="224">
        <f t="shared" si="6"/>
        <v>140.69999999999999</v>
      </c>
      <c r="AG25" s="224">
        <f t="shared" si="7"/>
        <v>8.6999999999999993</v>
      </c>
      <c r="AH25" s="257">
        <f t="shared" si="13"/>
        <v>0</v>
      </c>
      <c r="AI25" s="258">
        <f t="shared" si="14"/>
        <v>0</v>
      </c>
      <c r="AJ25" s="55">
        <f>SUMIFS('tuot-INFO'!W:W,'tuot-INFO'!$A:$A,'tuot-PVÄ'!B25)</f>
        <v>55.893000000000001</v>
      </c>
      <c r="AK25" s="55">
        <f>SUMIFS('tuot-INFO'!X:X,'tuot-INFO'!$A:$A,'tuot-PVÄ'!B25)</f>
        <v>6.009999999999998</v>
      </c>
    </row>
    <row r="26" spans="1:37" x14ac:dyDescent="0.25">
      <c r="A26" s="169">
        <f t="shared" si="8"/>
        <v>42512</v>
      </c>
      <c r="B26" s="23">
        <f>ROUNDUP((A26-Yleistiedot!$B$4)/7,0)</f>
        <v>21</v>
      </c>
      <c r="C26" s="16"/>
      <c r="D26" s="25"/>
      <c r="E26" s="25"/>
      <c r="F26" s="25"/>
      <c r="G26" s="25"/>
      <c r="H26" s="25"/>
      <c r="I26" s="65">
        <f t="shared" si="0"/>
        <v>0</v>
      </c>
      <c r="J26" s="26"/>
      <c r="K26" s="25"/>
      <c r="L26" s="16"/>
      <c r="M26" s="16"/>
      <c r="N26" s="25"/>
      <c r="O26" s="30"/>
      <c r="P26" s="252">
        <f t="shared" si="16"/>
        <v>9990</v>
      </c>
      <c r="Q26" s="253">
        <f t="shared" si="17"/>
        <v>0</v>
      </c>
      <c r="R26" s="253">
        <f t="shared" si="18"/>
        <v>0</v>
      </c>
      <c r="S26" s="251">
        <f>SUMIFS('tuot-rehukirjanpito'!D:D,'tuot-rehukirjanpito'!A:A,A26)</f>
        <v>0</v>
      </c>
      <c r="T26" s="254">
        <f t="shared" si="10"/>
        <v>1098.9000000000001</v>
      </c>
      <c r="U26" s="254">
        <f t="shared" si="21"/>
        <v>1098.8999999999999</v>
      </c>
      <c r="V26" s="252">
        <f>IF(SUMIFS('tuot-rehukirjanpito'!E:E,'tuot-rehukirjanpito'!A:A,'tuot-PVÄ'!A26)&gt;0,SUMIFS('tuot-rehukirjanpito'!E:E,'tuot-rehukirjanpito'!A:A,'tuot-PVÄ'!A26),V25+S26-T26)</f>
        <v>-26373.600000000009</v>
      </c>
      <c r="W26" s="255">
        <f t="shared" si="3"/>
        <v>-24.000000000000007</v>
      </c>
      <c r="X26" s="256" t="str">
        <f t="shared" si="19"/>
        <v/>
      </c>
      <c r="Y26" s="256" t="str">
        <f t="shared" si="20"/>
        <v/>
      </c>
      <c r="Z26" s="224" t="str">
        <f>IF(IFERROR(INDEX('tuot-rehukirjanpito'!I:I,MATCH(A26,'tuot-rehukirjanpito'!G:G,0)),)=0,"",INDEX('tuot-rehukirjanpito'!I:I,MATCH(A26,'tuot-rehukirjanpito'!G:G,0)))</f>
        <v/>
      </c>
      <c r="AA26" s="224">
        <f>SUMIFS('tuot-INFO'!$K$10:$K$115,'tuot-INFO'!$A$10:$A$115,'tuot-PVÄ'!B26)</f>
        <v>51</v>
      </c>
      <c r="AB26" s="224">
        <f>SUMIFS('rehu-vesi-INFO'!$R:$R,'rehu-vesi-INFO'!$A:$A,'tuot-PVÄ'!B26)</f>
        <v>1407</v>
      </c>
      <c r="AC26" s="224">
        <f>SUMIFS('rehu-vesi-INFO'!$S:$S,'rehu-vesi-INFO'!$A:$A,'tuot-PVÄ'!B26)</f>
        <v>1494</v>
      </c>
      <c r="AD26" s="224">
        <f t="shared" si="4"/>
        <v>87</v>
      </c>
      <c r="AE26" s="224">
        <f t="shared" si="5"/>
        <v>0</v>
      </c>
      <c r="AF26" s="224">
        <f t="shared" si="6"/>
        <v>140.69999999999999</v>
      </c>
      <c r="AG26" s="224">
        <f t="shared" si="7"/>
        <v>8.6999999999999993</v>
      </c>
      <c r="AH26" s="257">
        <f t="shared" si="13"/>
        <v>0</v>
      </c>
      <c r="AI26" s="258">
        <f t="shared" si="14"/>
        <v>0</v>
      </c>
      <c r="AJ26" s="55">
        <f>SUMIFS('tuot-INFO'!W:W,'tuot-INFO'!$A:$A,'tuot-PVÄ'!B26)</f>
        <v>55.893000000000001</v>
      </c>
      <c r="AK26" s="55">
        <f>SUMIFS('tuot-INFO'!X:X,'tuot-INFO'!$A:$A,'tuot-PVÄ'!B26)</f>
        <v>6.009999999999998</v>
      </c>
    </row>
    <row r="27" spans="1:37" x14ac:dyDescent="0.25">
      <c r="A27" s="169">
        <f t="shared" si="8"/>
        <v>42513</v>
      </c>
      <c r="B27" s="23">
        <f>ROUNDUP((A27-Yleistiedot!$B$4)/7,0)</f>
        <v>21</v>
      </c>
      <c r="C27" s="16"/>
      <c r="D27" s="25"/>
      <c r="E27" s="25"/>
      <c r="F27" s="25"/>
      <c r="G27" s="25"/>
      <c r="H27" s="25"/>
      <c r="I27" s="65">
        <f t="shared" si="0"/>
        <v>0</v>
      </c>
      <c r="J27" s="26"/>
      <c r="K27" s="25"/>
      <c r="L27" s="16"/>
      <c r="M27" s="16"/>
      <c r="N27" s="25"/>
      <c r="O27" s="30"/>
      <c r="P27" s="252">
        <f t="shared" si="16"/>
        <v>9990</v>
      </c>
      <c r="Q27" s="253">
        <f t="shared" si="17"/>
        <v>0</v>
      </c>
      <c r="R27" s="253">
        <f t="shared" si="18"/>
        <v>0</v>
      </c>
      <c r="S27" s="251">
        <f>SUMIFS('tuot-rehukirjanpito'!D:D,'tuot-rehukirjanpito'!A:A,A27)</f>
        <v>0</v>
      </c>
      <c r="T27" s="254">
        <f t="shared" si="10"/>
        <v>1098.9000000000001</v>
      </c>
      <c r="U27" s="254">
        <f t="shared" si="21"/>
        <v>1098.8999999999999</v>
      </c>
      <c r="V27" s="252">
        <f>IF(SUMIFS('tuot-rehukirjanpito'!E:E,'tuot-rehukirjanpito'!A:A,'tuot-PVÄ'!A27)&gt;0,SUMIFS('tuot-rehukirjanpito'!E:E,'tuot-rehukirjanpito'!A:A,'tuot-PVÄ'!A27),V26+S27-T27)</f>
        <v>-27472.500000000011</v>
      </c>
      <c r="W27" s="255">
        <f t="shared" si="3"/>
        <v>-25.000000000000007</v>
      </c>
      <c r="X27" s="256" t="str">
        <f t="shared" si="19"/>
        <v/>
      </c>
      <c r="Y27" s="256" t="str">
        <f t="shared" si="20"/>
        <v/>
      </c>
      <c r="Z27" s="224" t="str">
        <f>IF(IFERROR(INDEX('tuot-rehukirjanpito'!I:I,MATCH(A27,'tuot-rehukirjanpito'!G:G,0)),)=0,"",INDEX('tuot-rehukirjanpito'!I:I,MATCH(A27,'tuot-rehukirjanpito'!G:G,0)))</f>
        <v/>
      </c>
      <c r="AA27" s="224">
        <f>SUMIFS('tuot-INFO'!$K$10:$K$115,'tuot-INFO'!$A$10:$A$115,'tuot-PVÄ'!B27)</f>
        <v>51</v>
      </c>
      <c r="AB27" s="224">
        <f>SUMIFS('rehu-vesi-INFO'!$R:$R,'rehu-vesi-INFO'!$A:$A,'tuot-PVÄ'!B27)</f>
        <v>1407</v>
      </c>
      <c r="AC27" s="224">
        <f>SUMIFS('rehu-vesi-INFO'!$S:$S,'rehu-vesi-INFO'!$A:$A,'tuot-PVÄ'!B27)</f>
        <v>1494</v>
      </c>
      <c r="AD27" s="224">
        <f t="shared" si="4"/>
        <v>87</v>
      </c>
      <c r="AE27" s="224">
        <f t="shared" si="5"/>
        <v>0</v>
      </c>
      <c r="AF27" s="224">
        <f t="shared" si="6"/>
        <v>140.69999999999999</v>
      </c>
      <c r="AG27" s="224">
        <f t="shared" si="7"/>
        <v>8.6999999999999993</v>
      </c>
      <c r="AH27" s="257">
        <f t="shared" si="13"/>
        <v>0</v>
      </c>
      <c r="AI27" s="258">
        <f t="shared" si="14"/>
        <v>0</v>
      </c>
      <c r="AJ27" s="55">
        <f>SUMIFS('tuot-INFO'!W:W,'tuot-INFO'!$A:$A,'tuot-PVÄ'!B27)</f>
        <v>55.893000000000001</v>
      </c>
      <c r="AK27" s="55">
        <f>SUMIFS('tuot-INFO'!X:X,'tuot-INFO'!$A:$A,'tuot-PVÄ'!B27)</f>
        <v>6.009999999999998</v>
      </c>
    </row>
    <row r="28" spans="1:37" x14ac:dyDescent="0.25">
      <c r="A28" s="169">
        <f t="shared" si="8"/>
        <v>42514</v>
      </c>
      <c r="B28" s="23">
        <f>ROUNDUP((A28-Yleistiedot!$B$4)/7,0)</f>
        <v>21</v>
      </c>
      <c r="C28" s="16"/>
      <c r="D28" s="25"/>
      <c r="E28" s="25"/>
      <c r="F28" s="25"/>
      <c r="G28" s="25"/>
      <c r="H28" s="25"/>
      <c r="I28" s="65">
        <f t="shared" si="0"/>
        <v>0</v>
      </c>
      <c r="J28" s="26"/>
      <c r="K28" s="25"/>
      <c r="L28" s="16"/>
      <c r="M28" s="16"/>
      <c r="N28" s="25"/>
      <c r="O28" s="176"/>
      <c r="P28" s="252">
        <f t="shared" si="16"/>
        <v>9990</v>
      </c>
      <c r="Q28" s="253">
        <f t="shared" si="17"/>
        <v>0</v>
      </c>
      <c r="R28" s="253">
        <f t="shared" si="18"/>
        <v>0</v>
      </c>
      <c r="S28" s="251">
        <f>SUMIFS('tuot-rehukirjanpito'!D:D,'tuot-rehukirjanpito'!A:A,A28)</f>
        <v>0</v>
      </c>
      <c r="T28" s="254">
        <f t="shared" si="10"/>
        <v>1098.9000000000001</v>
      </c>
      <c r="U28" s="254">
        <f t="shared" si="21"/>
        <v>1098.8999999999999</v>
      </c>
      <c r="V28" s="252">
        <f>IF(SUMIFS('tuot-rehukirjanpito'!E:E,'tuot-rehukirjanpito'!A:A,'tuot-PVÄ'!A28)&gt;0,SUMIFS('tuot-rehukirjanpito'!E:E,'tuot-rehukirjanpito'!A:A,'tuot-PVÄ'!A28),V27+S28-T28)</f>
        <v>-28571.400000000012</v>
      </c>
      <c r="W28" s="255">
        <f t="shared" si="3"/>
        <v>-26.000000000000011</v>
      </c>
      <c r="X28" s="256" t="str">
        <f t="shared" si="19"/>
        <v/>
      </c>
      <c r="Y28" s="256" t="str">
        <f t="shared" si="20"/>
        <v/>
      </c>
      <c r="Z28" s="224" t="str">
        <f>IF(IFERROR(INDEX('tuot-rehukirjanpito'!I:I,MATCH(A28,'tuot-rehukirjanpito'!G:G,0)),)=0,"",INDEX('tuot-rehukirjanpito'!I:I,MATCH(A28,'tuot-rehukirjanpito'!G:G,0)))</f>
        <v/>
      </c>
      <c r="AA28" s="224">
        <f>SUMIFS('tuot-INFO'!$K$10:$K$115,'tuot-INFO'!$A$10:$A$115,'tuot-PVÄ'!B28)</f>
        <v>51</v>
      </c>
      <c r="AB28" s="224">
        <f>SUMIFS('rehu-vesi-INFO'!$R:$R,'rehu-vesi-INFO'!$A:$A,'tuot-PVÄ'!B28)</f>
        <v>1407</v>
      </c>
      <c r="AC28" s="224">
        <f>SUMIFS('rehu-vesi-INFO'!$S:$S,'rehu-vesi-INFO'!$A:$A,'tuot-PVÄ'!B28)</f>
        <v>1494</v>
      </c>
      <c r="AD28" s="224">
        <f t="shared" si="4"/>
        <v>87</v>
      </c>
      <c r="AE28" s="224">
        <f t="shared" si="5"/>
        <v>0</v>
      </c>
      <c r="AF28" s="224">
        <f t="shared" si="6"/>
        <v>140.69999999999999</v>
      </c>
      <c r="AG28" s="224">
        <f t="shared" si="7"/>
        <v>8.6999999999999993</v>
      </c>
      <c r="AH28" s="257">
        <f t="shared" si="13"/>
        <v>0</v>
      </c>
      <c r="AI28" s="258">
        <f t="shared" si="14"/>
        <v>0</v>
      </c>
      <c r="AJ28" s="55">
        <f>SUMIFS('tuot-INFO'!W:W,'tuot-INFO'!$A:$A,'tuot-PVÄ'!B28)</f>
        <v>55.893000000000001</v>
      </c>
      <c r="AK28" s="55">
        <f>SUMIFS('tuot-INFO'!X:X,'tuot-INFO'!$A:$A,'tuot-PVÄ'!B28)</f>
        <v>6.009999999999998</v>
      </c>
    </row>
    <row r="29" spans="1:37" x14ac:dyDescent="0.25">
      <c r="A29" s="169">
        <f t="shared" si="8"/>
        <v>42515</v>
      </c>
      <c r="B29" s="23">
        <f>ROUNDUP((A29-Yleistiedot!$B$4)/7,0)</f>
        <v>21</v>
      </c>
      <c r="C29" s="16"/>
      <c r="D29" s="25"/>
      <c r="E29" s="25"/>
      <c r="F29" s="25"/>
      <c r="G29" s="25"/>
      <c r="H29" s="25"/>
      <c r="I29" s="65">
        <f t="shared" si="0"/>
        <v>0</v>
      </c>
      <c r="J29" s="26"/>
      <c r="K29" s="25"/>
      <c r="L29" s="16"/>
      <c r="M29" s="16"/>
      <c r="N29" s="25"/>
      <c r="O29" s="176"/>
      <c r="P29" s="252">
        <f t="shared" si="16"/>
        <v>9990</v>
      </c>
      <c r="Q29" s="253">
        <f t="shared" si="17"/>
        <v>0</v>
      </c>
      <c r="R29" s="253">
        <f t="shared" si="18"/>
        <v>0</v>
      </c>
      <c r="S29" s="251">
        <f>SUMIFS('tuot-rehukirjanpito'!D:D,'tuot-rehukirjanpito'!A:A,A29)</f>
        <v>0</v>
      </c>
      <c r="T29" s="254">
        <f t="shared" si="10"/>
        <v>1098.9000000000001</v>
      </c>
      <c r="U29" s="254">
        <f t="shared" si="21"/>
        <v>1098.8999999999999</v>
      </c>
      <c r="V29" s="252">
        <f>IF(SUMIFS('tuot-rehukirjanpito'!E:E,'tuot-rehukirjanpito'!A:A,'tuot-PVÄ'!A29)&gt;0,SUMIFS('tuot-rehukirjanpito'!E:E,'tuot-rehukirjanpito'!A:A,'tuot-PVÄ'!A29),V28+S29-T29)</f>
        <v>-29670.300000000014</v>
      </c>
      <c r="W29" s="255">
        <f t="shared" si="3"/>
        <v>-27.000000000000011</v>
      </c>
      <c r="X29" s="256" t="str">
        <f t="shared" si="19"/>
        <v/>
      </c>
      <c r="Y29" s="256" t="str">
        <f t="shared" si="20"/>
        <v/>
      </c>
      <c r="Z29" s="224" t="str">
        <f>IF(IFERROR(INDEX('tuot-rehukirjanpito'!I:I,MATCH(A29,'tuot-rehukirjanpito'!G:G,0)),)=0,"",INDEX('tuot-rehukirjanpito'!I:I,MATCH(A29,'tuot-rehukirjanpito'!G:G,0)))</f>
        <v/>
      </c>
      <c r="AA29" s="224">
        <f>SUMIFS('tuot-INFO'!$K$10:$K$115,'tuot-INFO'!$A$10:$A$115,'tuot-PVÄ'!B29)</f>
        <v>51</v>
      </c>
      <c r="AB29" s="224">
        <f>SUMIFS('rehu-vesi-INFO'!$R:$R,'rehu-vesi-INFO'!$A:$A,'tuot-PVÄ'!B29)</f>
        <v>1407</v>
      </c>
      <c r="AC29" s="224">
        <f>SUMIFS('rehu-vesi-INFO'!$S:$S,'rehu-vesi-INFO'!$A:$A,'tuot-PVÄ'!B29)</f>
        <v>1494</v>
      </c>
      <c r="AD29" s="224">
        <f t="shared" si="4"/>
        <v>87</v>
      </c>
      <c r="AE29" s="224">
        <f t="shared" si="5"/>
        <v>0</v>
      </c>
      <c r="AF29" s="224">
        <f t="shared" si="6"/>
        <v>140.69999999999999</v>
      </c>
      <c r="AG29" s="224">
        <f t="shared" si="7"/>
        <v>8.6999999999999993</v>
      </c>
      <c r="AH29" s="257">
        <f t="shared" si="13"/>
        <v>0</v>
      </c>
      <c r="AI29" s="258">
        <f t="shared" si="14"/>
        <v>0</v>
      </c>
      <c r="AJ29" s="55">
        <f>SUMIFS('tuot-INFO'!W:W,'tuot-INFO'!$A:$A,'tuot-PVÄ'!B29)</f>
        <v>55.893000000000001</v>
      </c>
      <c r="AK29" s="55">
        <f>SUMIFS('tuot-INFO'!X:X,'tuot-INFO'!$A:$A,'tuot-PVÄ'!B29)</f>
        <v>6.009999999999998</v>
      </c>
    </row>
    <row r="30" spans="1:37" x14ac:dyDescent="0.25">
      <c r="A30" s="169">
        <f t="shared" si="8"/>
        <v>42516</v>
      </c>
      <c r="B30" s="23">
        <f>ROUNDUP((A30-Yleistiedot!$B$4)/7,0)</f>
        <v>21</v>
      </c>
      <c r="C30" s="16"/>
      <c r="D30" s="25"/>
      <c r="E30" s="25"/>
      <c r="F30" s="25"/>
      <c r="G30" s="25"/>
      <c r="H30" s="25"/>
      <c r="I30" s="65">
        <f t="shared" si="0"/>
        <v>0</v>
      </c>
      <c r="J30" s="26"/>
      <c r="K30" s="25"/>
      <c r="L30" s="16"/>
      <c r="M30" s="16"/>
      <c r="N30" s="25"/>
      <c r="O30" s="30"/>
      <c r="P30" s="252">
        <f t="shared" si="16"/>
        <v>9990</v>
      </c>
      <c r="Q30" s="253">
        <f t="shared" si="17"/>
        <v>0</v>
      </c>
      <c r="R30" s="253">
        <f t="shared" si="18"/>
        <v>0</v>
      </c>
      <c r="S30" s="251">
        <f>SUMIFS('tuot-rehukirjanpito'!D:D,'tuot-rehukirjanpito'!A:A,A30)</f>
        <v>0</v>
      </c>
      <c r="T30" s="254">
        <f t="shared" si="10"/>
        <v>1098.9000000000001</v>
      </c>
      <c r="U30" s="254">
        <f t="shared" si="21"/>
        <v>1098.8999999999999</v>
      </c>
      <c r="V30" s="252">
        <f>IF(SUMIFS('tuot-rehukirjanpito'!E:E,'tuot-rehukirjanpito'!A:A,'tuot-PVÄ'!A30)&gt;0,SUMIFS('tuot-rehukirjanpito'!E:E,'tuot-rehukirjanpito'!A:A,'tuot-PVÄ'!A30),V29+S30-T30)</f>
        <v>-30769.200000000015</v>
      </c>
      <c r="W30" s="255">
        <f t="shared" si="3"/>
        <v>-28.000000000000011</v>
      </c>
      <c r="X30" s="256" t="str">
        <f t="shared" si="19"/>
        <v/>
      </c>
      <c r="Y30" s="256" t="str">
        <f t="shared" si="20"/>
        <v/>
      </c>
      <c r="Z30" s="224" t="str">
        <f>IF(IFERROR(INDEX('tuot-rehukirjanpito'!I:I,MATCH(A30,'tuot-rehukirjanpito'!G:G,0)),)=0,"",INDEX('tuot-rehukirjanpito'!I:I,MATCH(A30,'tuot-rehukirjanpito'!G:G,0)))</f>
        <v/>
      </c>
      <c r="AA30" s="224">
        <f>SUMIFS('tuot-INFO'!$K$10:$K$115,'tuot-INFO'!$A$10:$A$115,'tuot-PVÄ'!B30)</f>
        <v>51</v>
      </c>
      <c r="AB30" s="224">
        <f>SUMIFS('rehu-vesi-INFO'!$R:$R,'rehu-vesi-INFO'!$A:$A,'tuot-PVÄ'!B30)</f>
        <v>1407</v>
      </c>
      <c r="AC30" s="224">
        <f>SUMIFS('rehu-vesi-INFO'!$S:$S,'rehu-vesi-INFO'!$A:$A,'tuot-PVÄ'!B30)</f>
        <v>1494</v>
      </c>
      <c r="AD30" s="224">
        <f t="shared" si="4"/>
        <v>87</v>
      </c>
      <c r="AE30" s="224">
        <f t="shared" si="5"/>
        <v>0</v>
      </c>
      <c r="AF30" s="224">
        <f t="shared" si="6"/>
        <v>140.69999999999999</v>
      </c>
      <c r="AG30" s="224">
        <f t="shared" si="7"/>
        <v>8.6999999999999993</v>
      </c>
      <c r="AH30" s="257">
        <f t="shared" si="13"/>
        <v>0</v>
      </c>
      <c r="AI30" s="258">
        <f t="shared" si="14"/>
        <v>0</v>
      </c>
      <c r="AJ30" s="55">
        <f>SUMIFS('tuot-INFO'!W:W,'tuot-INFO'!$A:$A,'tuot-PVÄ'!B30)</f>
        <v>55.893000000000001</v>
      </c>
      <c r="AK30" s="55">
        <f>SUMIFS('tuot-INFO'!X:X,'tuot-INFO'!$A:$A,'tuot-PVÄ'!B30)</f>
        <v>6.009999999999998</v>
      </c>
    </row>
    <row r="31" spans="1:37" x14ac:dyDescent="0.25">
      <c r="A31" s="169">
        <f t="shared" si="8"/>
        <v>42517</v>
      </c>
      <c r="B31" s="23">
        <f>ROUNDUP((A31-Yleistiedot!$B$4)/7,0)</f>
        <v>21</v>
      </c>
      <c r="C31" s="16"/>
      <c r="D31" s="25"/>
      <c r="E31" s="25"/>
      <c r="F31" s="25"/>
      <c r="G31" s="25"/>
      <c r="H31" s="25"/>
      <c r="I31" s="65">
        <f t="shared" si="0"/>
        <v>0</v>
      </c>
      <c r="J31" s="26"/>
      <c r="K31" s="25"/>
      <c r="L31" s="16"/>
      <c r="M31" s="16"/>
      <c r="N31" s="25"/>
      <c r="O31" s="30"/>
      <c r="P31" s="252">
        <f t="shared" si="16"/>
        <v>9990</v>
      </c>
      <c r="Q31" s="253">
        <f t="shared" si="17"/>
        <v>0</v>
      </c>
      <c r="R31" s="253">
        <f t="shared" si="18"/>
        <v>0</v>
      </c>
      <c r="S31" s="251">
        <f>SUMIFS('tuot-rehukirjanpito'!D:D,'tuot-rehukirjanpito'!A:A,A31)</f>
        <v>0</v>
      </c>
      <c r="T31" s="254">
        <f t="shared" si="10"/>
        <v>1098.9000000000001</v>
      </c>
      <c r="U31" s="254">
        <f t="shared" si="21"/>
        <v>1098.8999999999999</v>
      </c>
      <c r="V31" s="252">
        <f>IF(SUMIFS('tuot-rehukirjanpito'!E:E,'tuot-rehukirjanpito'!A:A,'tuot-PVÄ'!A31)&gt;0,SUMIFS('tuot-rehukirjanpito'!E:E,'tuot-rehukirjanpito'!A:A,'tuot-PVÄ'!A31),V30+S31-T31)</f>
        <v>-31868.100000000017</v>
      </c>
      <c r="W31" s="255">
        <f t="shared" si="3"/>
        <v>-29.000000000000014</v>
      </c>
      <c r="X31" s="256" t="str">
        <f t="shared" si="19"/>
        <v/>
      </c>
      <c r="Y31" s="256" t="str">
        <f t="shared" si="20"/>
        <v/>
      </c>
      <c r="Z31" s="224" t="str">
        <f>IF(IFERROR(INDEX('tuot-rehukirjanpito'!I:I,MATCH(A31,'tuot-rehukirjanpito'!G:G,0)),)=0,"",INDEX('tuot-rehukirjanpito'!I:I,MATCH(A31,'tuot-rehukirjanpito'!G:G,0)))</f>
        <v/>
      </c>
      <c r="AA31" s="224">
        <f>SUMIFS('tuot-INFO'!$K$10:$K$115,'tuot-INFO'!$A$10:$A$115,'tuot-PVÄ'!B31)</f>
        <v>51</v>
      </c>
      <c r="AB31" s="224">
        <f>SUMIFS('rehu-vesi-INFO'!$R:$R,'rehu-vesi-INFO'!$A:$A,'tuot-PVÄ'!B31)</f>
        <v>1407</v>
      </c>
      <c r="AC31" s="224">
        <f>SUMIFS('rehu-vesi-INFO'!$S:$S,'rehu-vesi-INFO'!$A:$A,'tuot-PVÄ'!B31)</f>
        <v>1494</v>
      </c>
      <c r="AD31" s="224">
        <f t="shared" si="4"/>
        <v>87</v>
      </c>
      <c r="AE31" s="224">
        <f t="shared" si="5"/>
        <v>0</v>
      </c>
      <c r="AF31" s="224">
        <f t="shared" si="6"/>
        <v>140.69999999999999</v>
      </c>
      <c r="AG31" s="224">
        <f t="shared" si="7"/>
        <v>8.6999999999999993</v>
      </c>
      <c r="AH31" s="257">
        <f t="shared" si="13"/>
        <v>0</v>
      </c>
      <c r="AI31" s="258">
        <f t="shared" si="14"/>
        <v>0</v>
      </c>
      <c r="AJ31" s="55">
        <f>SUMIFS('tuot-INFO'!W:W,'tuot-INFO'!$A:$A,'tuot-PVÄ'!B31)</f>
        <v>55.893000000000001</v>
      </c>
      <c r="AK31" s="55">
        <f>SUMIFS('tuot-INFO'!X:X,'tuot-INFO'!$A:$A,'tuot-PVÄ'!B31)</f>
        <v>6.009999999999998</v>
      </c>
    </row>
    <row r="32" spans="1:37" x14ac:dyDescent="0.25">
      <c r="A32" s="169">
        <f t="shared" si="8"/>
        <v>42518</v>
      </c>
      <c r="B32" s="23">
        <f>ROUNDUP((A32-Yleistiedot!$B$4)/7,0)</f>
        <v>22</v>
      </c>
      <c r="C32" s="16"/>
      <c r="D32" s="25"/>
      <c r="E32" s="25"/>
      <c r="F32" s="25"/>
      <c r="G32" s="25"/>
      <c r="H32" s="25"/>
      <c r="I32" s="65">
        <f t="shared" si="0"/>
        <v>0</v>
      </c>
      <c r="J32" s="26"/>
      <c r="K32" s="25"/>
      <c r="L32" s="16"/>
      <c r="M32" s="16"/>
      <c r="N32" s="25"/>
      <c r="O32" s="30"/>
      <c r="P32" s="252">
        <f t="shared" ref="P32:P55" si="22">P31-C32</f>
        <v>9990</v>
      </c>
      <c r="Q32" s="253">
        <f t="shared" ref="Q32:Q55" si="23">D32/P32*100</f>
        <v>0</v>
      </c>
      <c r="R32" s="253">
        <f t="shared" ref="R32:R55" si="24">I32/P32*100</f>
        <v>0</v>
      </c>
      <c r="S32" s="251">
        <f>SUMIFS('tuot-rehukirjanpito'!D:D,'tuot-rehukirjanpito'!A:A,A32)</f>
        <v>0</v>
      </c>
      <c r="T32" s="254">
        <f t="shared" si="10"/>
        <v>1098.9000000000001</v>
      </c>
      <c r="U32" s="254">
        <f t="shared" si="21"/>
        <v>1098.8999999999999</v>
      </c>
      <c r="V32" s="252">
        <f>IF(SUMIFS('tuot-rehukirjanpito'!E:E,'tuot-rehukirjanpito'!A:A,'tuot-PVÄ'!A32)&gt;0,SUMIFS('tuot-rehukirjanpito'!E:E,'tuot-rehukirjanpito'!A:A,'tuot-PVÄ'!A32),V31+S32-T32)</f>
        <v>-32967.000000000015</v>
      </c>
      <c r="W32" s="255">
        <f t="shared" si="3"/>
        <v>-30.000000000000011</v>
      </c>
      <c r="X32" s="256" t="str">
        <f t="shared" si="19"/>
        <v/>
      </c>
      <c r="Y32" s="256" t="str">
        <f t="shared" si="20"/>
        <v/>
      </c>
      <c r="Z32" s="224" t="str">
        <f>IF(IFERROR(INDEX('tuot-rehukirjanpito'!I:I,MATCH(A32,'tuot-rehukirjanpito'!G:G,0)),)=0,"",INDEX('tuot-rehukirjanpito'!I:I,MATCH(A32,'tuot-rehukirjanpito'!G:G,0)))</f>
        <v/>
      </c>
      <c r="AA32" s="224">
        <f>SUMIFS('tuot-INFO'!$K$10:$K$115,'tuot-INFO'!$A$10:$A$115,'tuot-PVÄ'!B32)</f>
        <v>53</v>
      </c>
      <c r="AB32" s="224">
        <f>SUMIFS('rehu-vesi-INFO'!$R:$R,'rehu-vesi-INFO'!$A:$A,'tuot-PVÄ'!B32)</f>
        <v>1455</v>
      </c>
      <c r="AC32" s="224">
        <f>SUMIFS('rehu-vesi-INFO'!$S:$S,'rehu-vesi-INFO'!$A:$A,'tuot-PVÄ'!B32)</f>
        <v>1545</v>
      </c>
      <c r="AD32" s="224">
        <f t="shared" si="4"/>
        <v>90</v>
      </c>
      <c r="AE32" s="224">
        <f t="shared" si="5"/>
        <v>0</v>
      </c>
      <c r="AF32" s="224">
        <f t="shared" si="6"/>
        <v>145.5</v>
      </c>
      <c r="AG32" s="224">
        <f t="shared" si="7"/>
        <v>9</v>
      </c>
      <c r="AH32" s="257">
        <f t="shared" si="13"/>
        <v>0</v>
      </c>
      <c r="AI32" s="258">
        <f t="shared" si="14"/>
        <v>0</v>
      </c>
      <c r="AJ32" s="55">
        <f>SUMIFS('tuot-INFO'!W:W,'tuot-INFO'!$A:$A,'tuot-PVÄ'!B32)</f>
        <v>69.936000000000007</v>
      </c>
      <c r="AK32" s="55">
        <f>SUMIFS('tuot-INFO'!X:X,'tuot-INFO'!$A:$A,'tuot-PVÄ'!B32)</f>
        <v>7.519999999999996</v>
      </c>
    </row>
    <row r="33" spans="1:37" x14ac:dyDescent="0.25">
      <c r="A33" s="169">
        <f t="shared" si="8"/>
        <v>42519</v>
      </c>
      <c r="B33" s="23">
        <f>ROUNDUP((A33-Yleistiedot!$B$4)/7,0)</f>
        <v>22</v>
      </c>
      <c r="C33" s="16"/>
      <c r="D33" s="25"/>
      <c r="E33" s="25"/>
      <c r="F33" s="25"/>
      <c r="G33" s="25"/>
      <c r="H33" s="25"/>
      <c r="I33" s="65">
        <f t="shared" si="0"/>
        <v>0</v>
      </c>
      <c r="J33" s="26"/>
      <c r="K33" s="25"/>
      <c r="L33" s="16"/>
      <c r="M33" s="16"/>
      <c r="N33" s="25"/>
      <c r="O33" s="30"/>
      <c r="P33" s="252">
        <f t="shared" si="22"/>
        <v>9990</v>
      </c>
      <c r="Q33" s="253">
        <f t="shared" si="23"/>
        <v>0</v>
      </c>
      <c r="R33" s="253">
        <f t="shared" si="24"/>
        <v>0</v>
      </c>
      <c r="S33" s="251">
        <f>SUMIFS('tuot-rehukirjanpito'!D:D,'tuot-rehukirjanpito'!A:A,A33)</f>
        <v>0</v>
      </c>
      <c r="T33" s="254">
        <f t="shared" si="10"/>
        <v>1098.9000000000001</v>
      </c>
      <c r="U33" s="254">
        <f t="shared" si="21"/>
        <v>1098.8999999999999</v>
      </c>
      <c r="V33" s="252">
        <f>IF(SUMIFS('tuot-rehukirjanpito'!E:E,'tuot-rehukirjanpito'!A:A,'tuot-PVÄ'!A33)&gt;0,SUMIFS('tuot-rehukirjanpito'!E:E,'tuot-rehukirjanpito'!A:A,'tuot-PVÄ'!A33),V32+S33-T33)</f>
        <v>-34065.900000000016</v>
      </c>
      <c r="W33" s="255">
        <f t="shared" si="3"/>
        <v>-31.000000000000011</v>
      </c>
      <c r="X33" s="256" t="str">
        <f t="shared" si="19"/>
        <v/>
      </c>
      <c r="Y33" s="256" t="str">
        <f t="shared" si="20"/>
        <v/>
      </c>
      <c r="Z33" s="224" t="str">
        <f>IF(IFERROR(INDEX('tuot-rehukirjanpito'!I:I,MATCH(A33,'tuot-rehukirjanpito'!G:G,0)),)=0,"",INDEX('tuot-rehukirjanpito'!I:I,MATCH(A33,'tuot-rehukirjanpito'!G:G,0)))</f>
        <v/>
      </c>
      <c r="AA33" s="224">
        <f>SUMIFS('tuot-INFO'!$K$10:$K$115,'tuot-INFO'!$A$10:$A$115,'tuot-PVÄ'!B33)</f>
        <v>53</v>
      </c>
      <c r="AB33" s="224">
        <f>SUMIFS('rehu-vesi-INFO'!$R:$R,'rehu-vesi-INFO'!$A:$A,'tuot-PVÄ'!B33)</f>
        <v>1455</v>
      </c>
      <c r="AC33" s="224">
        <f>SUMIFS('rehu-vesi-INFO'!$S:$S,'rehu-vesi-INFO'!$A:$A,'tuot-PVÄ'!B33)</f>
        <v>1545</v>
      </c>
      <c r="AD33" s="224">
        <f t="shared" si="4"/>
        <v>90</v>
      </c>
      <c r="AE33" s="224">
        <f t="shared" si="5"/>
        <v>0</v>
      </c>
      <c r="AF33" s="224">
        <f t="shared" si="6"/>
        <v>145.5</v>
      </c>
      <c r="AG33" s="224">
        <f t="shared" si="7"/>
        <v>9</v>
      </c>
      <c r="AH33" s="257">
        <f t="shared" si="13"/>
        <v>0</v>
      </c>
      <c r="AI33" s="258">
        <f t="shared" si="14"/>
        <v>0</v>
      </c>
      <c r="AJ33" s="55">
        <f>SUMIFS('tuot-INFO'!W:W,'tuot-INFO'!$A:$A,'tuot-PVÄ'!B33)</f>
        <v>69.936000000000007</v>
      </c>
      <c r="AK33" s="55">
        <f>SUMIFS('tuot-INFO'!X:X,'tuot-INFO'!$A:$A,'tuot-PVÄ'!B33)</f>
        <v>7.519999999999996</v>
      </c>
    </row>
    <row r="34" spans="1:37" x14ac:dyDescent="0.25">
      <c r="A34" s="169">
        <f t="shared" si="8"/>
        <v>42520</v>
      </c>
      <c r="B34" s="23">
        <f>ROUNDUP((A34-Yleistiedot!$B$4)/7,0)</f>
        <v>22</v>
      </c>
      <c r="C34" s="16"/>
      <c r="D34" s="25"/>
      <c r="E34" s="25"/>
      <c r="F34" s="25"/>
      <c r="G34" s="25"/>
      <c r="H34" s="25"/>
      <c r="I34" s="65">
        <f t="shared" si="0"/>
        <v>0</v>
      </c>
      <c r="J34" s="26"/>
      <c r="K34" s="25"/>
      <c r="L34" s="16"/>
      <c r="M34" s="16"/>
      <c r="N34" s="25"/>
      <c r="O34" s="30"/>
      <c r="P34" s="252">
        <f t="shared" si="22"/>
        <v>9990</v>
      </c>
      <c r="Q34" s="253">
        <f t="shared" si="23"/>
        <v>0</v>
      </c>
      <c r="R34" s="253">
        <f t="shared" si="24"/>
        <v>0</v>
      </c>
      <c r="S34" s="251">
        <f>SUMIFS('tuot-rehukirjanpito'!D:D,'tuot-rehukirjanpito'!A:A,A34)</f>
        <v>0</v>
      </c>
      <c r="T34" s="254">
        <f t="shared" si="10"/>
        <v>1098.9000000000001</v>
      </c>
      <c r="U34" s="254">
        <f t="shared" si="21"/>
        <v>1098.8999999999999</v>
      </c>
      <c r="V34" s="252">
        <f>IF(SUMIFS('tuot-rehukirjanpito'!E:E,'tuot-rehukirjanpito'!A:A,'tuot-PVÄ'!A34)&gt;0,SUMIFS('tuot-rehukirjanpito'!E:E,'tuot-rehukirjanpito'!A:A,'tuot-PVÄ'!A34),V33+S34-T34)</f>
        <v>-35164.800000000017</v>
      </c>
      <c r="W34" s="255">
        <f t="shared" si="3"/>
        <v>-32.000000000000014</v>
      </c>
      <c r="X34" s="256" t="str">
        <f t="shared" si="19"/>
        <v/>
      </c>
      <c r="Y34" s="256" t="str">
        <f t="shared" si="20"/>
        <v/>
      </c>
      <c r="Z34" s="224" t="str">
        <f>IF(IFERROR(INDEX('tuot-rehukirjanpito'!I:I,MATCH(A34,'tuot-rehukirjanpito'!G:G,0)),)=0,"",INDEX('tuot-rehukirjanpito'!I:I,MATCH(A34,'tuot-rehukirjanpito'!G:G,0)))</f>
        <v/>
      </c>
      <c r="AA34" s="224">
        <f>SUMIFS('tuot-INFO'!$K$10:$K$115,'tuot-INFO'!$A$10:$A$115,'tuot-PVÄ'!B34)</f>
        <v>53</v>
      </c>
      <c r="AB34" s="224">
        <f>SUMIFS('rehu-vesi-INFO'!$R:$R,'rehu-vesi-INFO'!$A:$A,'tuot-PVÄ'!B34)</f>
        <v>1455</v>
      </c>
      <c r="AC34" s="224">
        <f>SUMIFS('rehu-vesi-INFO'!$S:$S,'rehu-vesi-INFO'!$A:$A,'tuot-PVÄ'!B34)</f>
        <v>1545</v>
      </c>
      <c r="AD34" s="224">
        <f t="shared" si="4"/>
        <v>90</v>
      </c>
      <c r="AE34" s="224">
        <f t="shared" si="5"/>
        <v>0</v>
      </c>
      <c r="AF34" s="224">
        <f t="shared" si="6"/>
        <v>145.5</v>
      </c>
      <c r="AG34" s="224">
        <f t="shared" si="7"/>
        <v>9</v>
      </c>
      <c r="AH34" s="257">
        <f t="shared" si="13"/>
        <v>0</v>
      </c>
      <c r="AI34" s="258">
        <f t="shared" si="14"/>
        <v>0</v>
      </c>
      <c r="AJ34" s="55">
        <f>SUMIFS('tuot-INFO'!W:W,'tuot-INFO'!$A:$A,'tuot-PVÄ'!B34)</f>
        <v>69.936000000000007</v>
      </c>
      <c r="AK34" s="55">
        <f>SUMIFS('tuot-INFO'!X:X,'tuot-INFO'!$A:$A,'tuot-PVÄ'!B34)</f>
        <v>7.519999999999996</v>
      </c>
    </row>
    <row r="35" spans="1:37" x14ac:dyDescent="0.25">
      <c r="A35" s="169">
        <f t="shared" si="8"/>
        <v>42521</v>
      </c>
      <c r="B35" s="23">
        <f>ROUNDUP((A35-Yleistiedot!$B$4)/7,0)</f>
        <v>22</v>
      </c>
      <c r="C35" s="16"/>
      <c r="D35" s="25"/>
      <c r="E35" s="25"/>
      <c r="F35" s="25"/>
      <c r="G35" s="25"/>
      <c r="H35" s="25"/>
      <c r="I35" s="65">
        <f t="shared" si="0"/>
        <v>0</v>
      </c>
      <c r="J35" s="26"/>
      <c r="K35" s="25"/>
      <c r="L35" s="16"/>
      <c r="M35" s="16"/>
      <c r="N35" s="25"/>
      <c r="O35" s="30"/>
      <c r="P35" s="252">
        <f t="shared" si="22"/>
        <v>9990</v>
      </c>
      <c r="Q35" s="253">
        <f t="shared" si="23"/>
        <v>0</v>
      </c>
      <c r="R35" s="253">
        <f t="shared" si="24"/>
        <v>0</v>
      </c>
      <c r="S35" s="251">
        <f>SUMIFS('tuot-rehukirjanpito'!D:D,'tuot-rehukirjanpito'!A:A,A35)</f>
        <v>0</v>
      </c>
      <c r="T35" s="254">
        <f t="shared" si="10"/>
        <v>1098.9000000000001</v>
      </c>
      <c r="U35" s="254">
        <f t="shared" si="21"/>
        <v>1098.8999999999999</v>
      </c>
      <c r="V35" s="252">
        <f>IF(SUMIFS('tuot-rehukirjanpito'!E:E,'tuot-rehukirjanpito'!A:A,'tuot-PVÄ'!A35)&gt;0,SUMIFS('tuot-rehukirjanpito'!E:E,'tuot-rehukirjanpito'!A:A,'tuot-PVÄ'!A35),V34+S35-T35)</f>
        <v>-36263.700000000019</v>
      </c>
      <c r="W35" s="255">
        <f t="shared" si="3"/>
        <v>-33.000000000000014</v>
      </c>
      <c r="X35" s="256" t="str">
        <f t="shared" si="19"/>
        <v/>
      </c>
      <c r="Y35" s="256" t="str">
        <f t="shared" si="20"/>
        <v/>
      </c>
      <c r="Z35" s="224" t="str">
        <f>IF(IFERROR(INDEX('tuot-rehukirjanpito'!I:I,MATCH(A35,'tuot-rehukirjanpito'!G:G,0)),)=0,"",INDEX('tuot-rehukirjanpito'!I:I,MATCH(A35,'tuot-rehukirjanpito'!G:G,0)))</f>
        <v/>
      </c>
      <c r="AA35" s="224">
        <f>SUMIFS('tuot-INFO'!$K$10:$K$115,'tuot-INFO'!$A$10:$A$115,'tuot-PVÄ'!B35)</f>
        <v>53</v>
      </c>
      <c r="AB35" s="224">
        <f>SUMIFS('rehu-vesi-INFO'!$R:$R,'rehu-vesi-INFO'!$A:$A,'tuot-PVÄ'!B35)</f>
        <v>1455</v>
      </c>
      <c r="AC35" s="224">
        <f>SUMIFS('rehu-vesi-INFO'!$S:$S,'rehu-vesi-INFO'!$A:$A,'tuot-PVÄ'!B35)</f>
        <v>1545</v>
      </c>
      <c r="AD35" s="224">
        <f t="shared" si="4"/>
        <v>90</v>
      </c>
      <c r="AE35" s="224">
        <f t="shared" si="5"/>
        <v>0</v>
      </c>
      <c r="AF35" s="224">
        <f t="shared" si="6"/>
        <v>145.5</v>
      </c>
      <c r="AG35" s="224">
        <f t="shared" si="7"/>
        <v>9</v>
      </c>
      <c r="AH35" s="257">
        <f t="shared" si="13"/>
        <v>0</v>
      </c>
      <c r="AI35" s="258">
        <f t="shared" si="14"/>
        <v>0</v>
      </c>
      <c r="AJ35" s="55">
        <f>SUMIFS('tuot-INFO'!W:W,'tuot-INFO'!$A:$A,'tuot-PVÄ'!B35)</f>
        <v>69.936000000000007</v>
      </c>
      <c r="AK35" s="55">
        <f>SUMIFS('tuot-INFO'!X:X,'tuot-INFO'!$A:$A,'tuot-PVÄ'!B35)</f>
        <v>7.519999999999996</v>
      </c>
    </row>
    <row r="36" spans="1:37" x14ac:dyDescent="0.25">
      <c r="A36" s="169">
        <f t="shared" si="8"/>
        <v>42522</v>
      </c>
      <c r="B36" s="23">
        <f>ROUNDUP((A36-Yleistiedot!$B$4)/7,0)</f>
        <v>22</v>
      </c>
      <c r="C36" s="16"/>
      <c r="D36" s="25"/>
      <c r="E36" s="25"/>
      <c r="F36" s="25"/>
      <c r="G36" s="25"/>
      <c r="H36" s="25"/>
      <c r="I36" s="65">
        <f t="shared" si="0"/>
        <v>0</v>
      </c>
      <c r="J36" s="26"/>
      <c r="K36" s="25"/>
      <c r="L36" s="16"/>
      <c r="M36" s="16"/>
      <c r="N36" s="25"/>
      <c r="O36" s="30"/>
      <c r="P36" s="252">
        <f t="shared" si="22"/>
        <v>9990</v>
      </c>
      <c r="Q36" s="253">
        <f t="shared" si="23"/>
        <v>0</v>
      </c>
      <c r="R36" s="253">
        <f t="shared" si="24"/>
        <v>0</v>
      </c>
      <c r="S36" s="251">
        <f>SUMIFS('tuot-rehukirjanpito'!D:D,'tuot-rehukirjanpito'!A:A,A36)</f>
        <v>0</v>
      </c>
      <c r="T36" s="254">
        <f t="shared" si="10"/>
        <v>1098.9000000000001</v>
      </c>
      <c r="U36" s="254">
        <f t="shared" si="21"/>
        <v>1098.8999999999999</v>
      </c>
      <c r="V36" s="252">
        <f>IF(SUMIFS('tuot-rehukirjanpito'!E:E,'tuot-rehukirjanpito'!A:A,'tuot-PVÄ'!A36)&gt;0,SUMIFS('tuot-rehukirjanpito'!E:E,'tuot-rehukirjanpito'!A:A,'tuot-PVÄ'!A36),V35+S36-T36)</f>
        <v>-37362.60000000002</v>
      </c>
      <c r="W36" s="255">
        <f t="shared" si="3"/>
        <v>-34.000000000000014</v>
      </c>
      <c r="X36" s="256" t="str">
        <f t="shared" si="19"/>
        <v/>
      </c>
      <c r="Y36" s="256" t="str">
        <f t="shared" si="20"/>
        <v/>
      </c>
      <c r="Z36" s="224" t="str">
        <f>IF(IFERROR(INDEX('tuot-rehukirjanpito'!I:I,MATCH(A36,'tuot-rehukirjanpito'!G:G,0)),)=0,"",INDEX('tuot-rehukirjanpito'!I:I,MATCH(A36,'tuot-rehukirjanpito'!G:G,0)))</f>
        <v/>
      </c>
      <c r="AA36" s="224">
        <f>SUMIFS('tuot-INFO'!$K$10:$K$115,'tuot-INFO'!$A$10:$A$115,'tuot-PVÄ'!B36)</f>
        <v>53</v>
      </c>
      <c r="AB36" s="224">
        <f>SUMIFS('rehu-vesi-INFO'!$R:$R,'rehu-vesi-INFO'!$A:$A,'tuot-PVÄ'!B36)</f>
        <v>1455</v>
      </c>
      <c r="AC36" s="224">
        <f>SUMIFS('rehu-vesi-INFO'!$S:$S,'rehu-vesi-INFO'!$A:$A,'tuot-PVÄ'!B36)</f>
        <v>1545</v>
      </c>
      <c r="AD36" s="224">
        <f t="shared" si="4"/>
        <v>90</v>
      </c>
      <c r="AE36" s="224">
        <f t="shared" si="5"/>
        <v>0</v>
      </c>
      <c r="AF36" s="224">
        <f t="shared" si="6"/>
        <v>145.5</v>
      </c>
      <c r="AG36" s="224">
        <f t="shared" si="7"/>
        <v>9</v>
      </c>
      <c r="AH36" s="257">
        <f t="shared" si="13"/>
        <v>0</v>
      </c>
      <c r="AI36" s="258">
        <f t="shared" si="14"/>
        <v>0</v>
      </c>
      <c r="AJ36" s="55">
        <f>SUMIFS('tuot-INFO'!W:W,'tuot-INFO'!$A:$A,'tuot-PVÄ'!B36)</f>
        <v>69.936000000000007</v>
      </c>
      <c r="AK36" s="55">
        <f>SUMIFS('tuot-INFO'!X:X,'tuot-INFO'!$A:$A,'tuot-PVÄ'!B36)</f>
        <v>7.519999999999996</v>
      </c>
    </row>
    <row r="37" spans="1:37" x14ac:dyDescent="0.25">
      <c r="A37" s="169">
        <f t="shared" si="8"/>
        <v>42523</v>
      </c>
      <c r="B37" s="23">
        <f>ROUNDUP((A37-Yleistiedot!$B$4)/7,0)</f>
        <v>22</v>
      </c>
      <c r="C37" s="16"/>
      <c r="D37" s="25"/>
      <c r="E37" s="25"/>
      <c r="F37" s="25"/>
      <c r="G37" s="25"/>
      <c r="H37" s="25"/>
      <c r="I37" s="65">
        <f t="shared" si="0"/>
        <v>0</v>
      </c>
      <c r="J37" s="26"/>
      <c r="K37" s="25"/>
      <c r="L37" s="16"/>
      <c r="M37" s="16"/>
      <c r="N37" s="25"/>
      <c r="O37" s="176"/>
      <c r="P37" s="252">
        <f t="shared" si="22"/>
        <v>9990</v>
      </c>
      <c r="Q37" s="253">
        <f t="shared" si="23"/>
        <v>0</v>
      </c>
      <c r="R37" s="253">
        <f t="shared" si="24"/>
        <v>0</v>
      </c>
      <c r="S37" s="251">
        <f>SUMIFS('tuot-rehukirjanpito'!D:D,'tuot-rehukirjanpito'!A:A,A37)</f>
        <v>0</v>
      </c>
      <c r="T37" s="254">
        <f t="shared" si="10"/>
        <v>1098.9000000000001</v>
      </c>
      <c r="U37" s="254">
        <f t="shared" si="21"/>
        <v>1098.8999999999999</v>
      </c>
      <c r="V37" s="252">
        <f>IF(SUMIFS('tuot-rehukirjanpito'!E:E,'tuot-rehukirjanpito'!A:A,'tuot-PVÄ'!A37)&gt;0,SUMIFS('tuot-rehukirjanpito'!E:E,'tuot-rehukirjanpito'!A:A,'tuot-PVÄ'!A37),V36+S37-T37)</f>
        <v>-38461.500000000022</v>
      </c>
      <c r="W37" s="255">
        <f t="shared" si="3"/>
        <v>-35.000000000000014</v>
      </c>
      <c r="X37" s="256" t="str">
        <f t="shared" si="19"/>
        <v/>
      </c>
      <c r="Y37" s="256" t="str">
        <f t="shared" si="20"/>
        <v/>
      </c>
      <c r="Z37" s="224" t="str">
        <f>IF(IFERROR(INDEX('tuot-rehukirjanpito'!I:I,MATCH(A37,'tuot-rehukirjanpito'!G:G,0)),)=0,"",INDEX('tuot-rehukirjanpito'!I:I,MATCH(A37,'tuot-rehukirjanpito'!G:G,0)))</f>
        <v/>
      </c>
      <c r="AA37" s="224">
        <f>SUMIFS('tuot-INFO'!$K$10:$K$115,'tuot-INFO'!$A$10:$A$115,'tuot-PVÄ'!B37)</f>
        <v>53</v>
      </c>
      <c r="AB37" s="224">
        <f>SUMIFS('rehu-vesi-INFO'!$R:$R,'rehu-vesi-INFO'!$A:$A,'tuot-PVÄ'!B37)</f>
        <v>1455</v>
      </c>
      <c r="AC37" s="224">
        <f>SUMIFS('rehu-vesi-INFO'!$S:$S,'rehu-vesi-INFO'!$A:$A,'tuot-PVÄ'!B37)</f>
        <v>1545</v>
      </c>
      <c r="AD37" s="224">
        <f t="shared" si="4"/>
        <v>90</v>
      </c>
      <c r="AE37" s="224">
        <f t="shared" si="5"/>
        <v>0</v>
      </c>
      <c r="AF37" s="224">
        <f t="shared" si="6"/>
        <v>145.5</v>
      </c>
      <c r="AG37" s="224">
        <f t="shared" si="7"/>
        <v>9</v>
      </c>
      <c r="AH37" s="257">
        <f t="shared" si="13"/>
        <v>0</v>
      </c>
      <c r="AI37" s="258">
        <f t="shared" si="14"/>
        <v>0</v>
      </c>
      <c r="AJ37" s="55">
        <f>SUMIFS('tuot-INFO'!W:W,'tuot-INFO'!$A:$A,'tuot-PVÄ'!B37)</f>
        <v>69.936000000000007</v>
      </c>
      <c r="AK37" s="55">
        <f>SUMIFS('tuot-INFO'!X:X,'tuot-INFO'!$A:$A,'tuot-PVÄ'!B37)</f>
        <v>7.519999999999996</v>
      </c>
    </row>
    <row r="38" spans="1:37" x14ac:dyDescent="0.25">
      <c r="A38" s="169">
        <f t="shared" si="8"/>
        <v>42524</v>
      </c>
      <c r="B38" s="23">
        <f>ROUNDUP((A38-Yleistiedot!$B$4)/7,0)</f>
        <v>22</v>
      </c>
      <c r="C38" s="16"/>
      <c r="D38" s="25"/>
      <c r="E38" s="25"/>
      <c r="F38" s="25"/>
      <c r="G38" s="25"/>
      <c r="H38" s="25"/>
      <c r="I38" s="65">
        <f t="shared" si="0"/>
        <v>0</v>
      </c>
      <c r="J38" s="26"/>
      <c r="K38" s="25"/>
      <c r="L38" s="16"/>
      <c r="M38" s="16"/>
      <c r="N38" s="25"/>
      <c r="O38" s="30"/>
      <c r="P38" s="252">
        <f t="shared" si="22"/>
        <v>9990</v>
      </c>
      <c r="Q38" s="253">
        <f t="shared" si="23"/>
        <v>0</v>
      </c>
      <c r="R38" s="253">
        <f t="shared" si="24"/>
        <v>0</v>
      </c>
      <c r="S38" s="251">
        <f>SUMIFS('tuot-rehukirjanpito'!D:D,'tuot-rehukirjanpito'!A:A,A38)</f>
        <v>0</v>
      </c>
      <c r="T38" s="254">
        <f t="shared" si="10"/>
        <v>1098.9000000000001</v>
      </c>
      <c r="U38" s="254">
        <f t="shared" si="21"/>
        <v>1098.8999999999999</v>
      </c>
      <c r="V38" s="252">
        <f>IF(SUMIFS('tuot-rehukirjanpito'!E:E,'tuot-rehukirjanpito'!A:A,'tuot-PVÄ'!A38)&gt;0,SUMIFS('tuot-rehukirjanpito'!E:E,'tuot-rehukirjanpito'!A:A,'tuot-PVÄ'!A38),V37+S38-T38)</f>
        <v>-39560.400000000023</v>
      </c>
      <c r="W38" s="255">
        <f t="shared" si="3"/>
        <v>-36.000000000000021</v>
      </c>
      <c r="X38" s="256" t="str">
        <f t="shared" si="19"/>
        <v/>
      </c>
      <c r="Y38" s="256" t="str">
        <f t="shared" si="20"/>
        <v/>
      </c>
      <c r="Z38" s="224" t="str">
        <f>IF(IFERROR(INDEX('tuot-rehukirjanpito'!I:I,MATCH(A38,'tuot-rehukirjanpito'!G:G,0)),)=0,"",INDEX('tuot-rehukirjanpito'!I:I,MATCH(A38,'tuot-rehukirjanpito'!G:G,0)))</f>
        <v/>
      </c>
      <c r="AA38" s="224">
        <f>SUMIFS('tuot-INFO'!$K$10:$K$115,'tuot-INFO'!$A$10:$A$115,'tuot-PVÄ'!B38)</f>
        <v>53</v>
      </c>
      <c r="AB38" s="224">
        <f>SUMIFS('rehu-vesi-INFO'!$R:$R,'rehu-vesi-INFO'!$A:$A,'tuot-PVÄ'!B38)</f>
        <v>1455</v>
      </c>
      <c r="AC38" s="224">
        <f>SUMIFS('rehu-vesi-INFO'!$S:$S,'rehu-vesi-INFO'!$A:$A,'tuot-PVÄ'!B38)</f>
        <v>1545</v>
      </c>
      <c r="AD38" s="224">
        <f t="shared" si="4"/>
        <v>90</v>
      </c>
      <c r="AE38" s="224">
        <f t="shared" si="5"/>
        <v>0</v>
      </c>
      <c r="AF38" s="224">
        <f t="shared" si="6"/>
        <v>145.5</v>
      </c>
      <c r="AG38" s="224">
        <f t="shared" si="7"/>
        <v>9</v>
      </c>
      <c r="AH38" s="257">
        <f t="shared" si="13"/>
        <v>0</v>
      </c>
      <c r="AI38" s="258">
        <f t="shared" si="14"/>
        <v>0</v>
      </c>
      <c r="AJ38" s="55">
        <f>SUMIFS('tuot-INFO'!W:W,'tuot-INFO'!$A:$A,'tuot-PVÄ'!B38)</f>
        <v>69.936000000000007</v>
      </c>
      <c r="AK38" s="55">
        <f>SUMIFS('tuot-INFO'!X:X,'tuot-INFO'!$A:$A,'tuot-PVÄ'!B38)</f>
        <v>7.519999999999996</v>
      </c>
    </row>
    <row r="39" spans="1:37" x14ac:dyDescent="0.25">
      <c r="A39" s="169">
        <f t="shared" si="8"/>
        <v>42525</v>
      </c>
      <c r="B39" s="23">
        <f>ROUNDUP((A39-Yleistiedot!$B$4)/7,0)</f>
        <v>23</v>
      </c>
      <c r="C39" s="16"/>
      <c r="D39" s="25"/>
      <c r="E39" s="25"/>
      <c r="F39" s="25"/>
      <c r="G39" s="25"/>
      <c r="H39" s="25"/>
      <c r="I39" s="65">
        <f t="shared" si="0"/>
        <v>0</v>
      </c>
      <c r="J39" s="26"/>
      <c r="K39" s="25"/>
      <c r="L39" s="16"/>
      <c r="M39" s="16"/>
      <c r="N39" s="25"/>
      <c r="O39" s="30"/>
      <c r="P39" s="252">
        <f t="shared" si="22"/>
        <v>9990</v>
      </c>
      <c r="Q39" s="253">
        <f t="shared" si="23"/>
        <v>0</v>
      </c>
      <c r="R39" s="253">
        <f t="shared" si="24"/>
        <v>0</v>
      </c>
      <c r="S39" s="251">
        <f>SUMIFS('tuot-rehukirjanpito'!D:D,'tuot-rehukirjanpito'!A:A,A39)</f>
        <v>0</v>
      </c>
      <c r="T39" s="254">
        <f t="shared" si="10"/>
        <v>1098.9000000000001</v>
      </c>
      <c r="U39" s="254">
        <f t="shared" si="21"/>
        <v>1098.8999999999999</v>
      </c>
      <c r="V39" s="252">
        <f>IF(SUMIFS('tuot-rehukirjanpito'!E:E,'tuot-rehukirjanpito'!A:A,'tuot-PVÄ'!A39)&gt;0,SUMIFS('tuot-rehukirjanpito'!E:E,'tuot-rehukirjanpito'!A:A,'tuot-PVÄ'!A39),V38+S39-T39)</f>
        <v>-40659.300000000025</v>
      </c>
      <c r="W39" s="255">
        <f t="shared" si="3"/>
        <v>-37.000000000000021</v>
      </c>
      <c r="X39" s="256" t="str">
        <f t="shared" si="19"/>
        <v/>
      </c>
      <c r="Y39" s="256" t="str">
        <f t="shared" si="20"/>
        <v/>
      </c>
      <c r="Z39" s="224" t="str">
        <f>IF(IFERROR(INDEX('tuot-rehukirjanpito'!I:I,MATCH(A39,'tuot-rehukirjanpito'!G:G,0)),"EI")="EI","",INDEX('tuot-rehukirjanpito'!I:I,MATCH(A39,'tuot-rehukirjanpito'!G:G,0)))</f>
        <v/>
      </c>
      <c r="AA39" s="224">
        <f>SUMIFS('tuot-INFO'!$K$10:$K$115,'tuot-INFO'!$A$10:$A$115,'tuot-PVÄ'!B39)</f>
        <v>54.5</v>
      </c>
      <c r="AB39" s="224">
        <f>SUMIFS('rehu-vesi-INFO'!$R:$R,'rehu-vesi-INFO'!$A:$A,'tuot-PVÄ'!B39)</f>
        <v>1494</v>
      </c>
      <c r="AC39" s="224">
        <f>SUMIFS('rehu-vesi-INFO'!$S:$S,'rehu-vesi-INFO'!$A:$A,'tuot-PVÄ'!B39)</f>
        <v>1586</v>
      </c>
      <c r="AD39" s="224">
        <f t="shared" si="4"/>
        <v>92</v>
      </c>
      <c r="AE39" s="224">
        <f t="shared" si="5"/>
        <v>0</v>
      </c>
      <c r="AF39" s="224">
        <f t="shared" si="6"/>
        <v>149.4</v>
      </c>
      <c r="AG39" s="224">
        <f t="shared" si="7"/>
        <v>9.1999999999999993</v>
      </c>
      <c r="AH39" s="257">
        <f t="shared" si="13"/>
        <v>0</v>
      </c>
      <c r="AI39" s="258">
        <f t="shared" si="14"/>
        <v>0</v>
      </c>
      <c r="AJ39" s="55">
        <f>SUMIFS('tuot-INFO'!W:W,'tuot-INFO'!$A:$A,'tuot-PVÄ'!B39)</f>
        <v>79.236000000000004</v>
      </c>
      <c r="AK39" s="55">
        <f>SUMIFS('tuot-INFO'!X:X,'tuot-INFO'!$A:$A,'tuot-PVÄ'!B39)</f>
        <v>8.519999999999996</v>
      </c>
    </row>
    <row r="40" spans="1:37" x14ac:dyDescent="0.25">
      <c r="A40" s="169">
        <f t="shared" si="8"/>
        <v>42526</v>
      </c>
      <c r="B40" s="23">
        <f>ROUNDUP((A40-Yleistiedot!$B$4)/7,0)</f>
        <v>23</v>
      </c>
      <c r="C40" s="16"/>
      <c r="D40" s="25"/>
      <c r="E40" s="25"/>
      <c r="F40" s="25"/>
      <c r="G40" s="25"/>
      <c r="H40" s="25"/>
      <c r="I40" s="65">
        <f t="shared" si="0"/>
        <v>0</v>
      </c>
      <c r="J40" s="26"/>
      <c r="K40" s="25"/>
      <c r="L40" s="16"/>
      <c r="M40" s="16"/>
      <c r="N40" s="25"/>
      <c r="O40" s="30"/>
      <c r="P40" s="252">
        <f t="shared" si="22"/>
        <v>9990</v>
      </c>
      <c r="Q40" s="253">
        <f t="shared" si="23"/>
        <v>0</v>
      </c>
      <c r="R40" s="253">
        <f t="shared" si="24"/>
        <v>0</v>
      </c>
      <c r="S40" s="251">
        <f>SUMIFS('tuot-rehukirjanpito'!D:D,'tuot-rehukirjanpito'!A:A,A40)</f>
        <v>0</v>
      </c>
      <c r="T40" s="254">
        <f t="shared" si="10"/>
        <v>1098.9000000000001</v>
      </c>
      <c r="U40" s="254">
        <f t="shared" si="21"/>
        <v>1098.8999999999999</v>
      </c>
      <c r="V40" s="252">
        <f>IF(SUMIFS('tuot-rehukirjanpito'!E:E,'tuot-rehukirjanpito'!A:A,'tuot-PVÄ'!A40)&gt;0,SUMIFS('tuot-rehukirjanpito'!E:E,'tuot-rehukirjanpito'!A:A,'tuot-PVÄ'!A40),V39+S40-T40)</f>
        <v>-41758.200000000026</v>
      </c>
      <c r="W40" s="255">
        <f t="shared" si="3"/>
        <v>-38.000000000000021</v>
      </c>
      <c r="X40" s="256" t="str">
        <f t="shared" si="19"/>
        <v/>
      </c>
      <c r="Y40" s="256" t="str">
        <f t="shared" si="20"/>
        <v/>
      </c>
      <c r="Z40" s="224" t="str">
        <f>IF(IFERROR(INDEX('tuot-rehukirjanpito'!I:I,MATCH(A40,'tuot-rehukirjanpito'!G:G,0)),"EI")="EI","",INDEX('tuot-rehukirjanpito'!I:I,MATCH(A40,'tuot-rehukirjanpito'!G:G,0)))</f>
        <v/>
      </c>
      <c r="AA40" s="224">
        <f>SUMIFS('tuot-INFO'!$K$10:$K$115,'tuot-INFO'!$A$10:$A$115,'tuot-PVÄ'!B40)</f>
        <v>54.5</v>
      </c>
      <c r="AB40" s="224">
        <f>SUMIFS('rehu-vesi-INFO'!$R:$R,'rehu-vesi-INFO'!$A:$A,'tuot-PVÄ'!B40)</f>
        <v>1494</v>
      </c>
      <c r="AC40" s="224">
        <f>SUMIFS('rehu-vesi-INFO'!$S:$S,'rehu-vesi-INFO'!$A:$A,'tuot-PVÄ'!B40)</f>
        <v>1586</v>
      </c>
      <c r="AD40" s="224">
        <f t="shared" si="4"/>
        <v>92</v>
      </c>
      <c r="AE40" s="224">
        <f t="shared" si="5"/>
        <v>0</v>
      </c>
      <c r="AF40" s="224">
        <f t="shared" si="6"/>
        <v>149.4</v>
      </c>
      <c r="AG40" s="224">
        <f t="shared" si="7"/>
        <v>9.1999999999999993</v>
      </c>
      <c r="AH40" s="257">
        <f t="shared" si="13"/>
        <v>0</v>
      </c>
      <c r="AI40" s="258">
        <f t="shared" si="14"/>
        <v>0</v>
      </c>
      <c r="AJ40" s="55">
        <f>SUMIFS('tuot-INFO'!W:W,'tuot-INFO'!$A:$A,'tuot-PVÄ'!B40)</f>
        <v>79.236000000000004</v>
      </c>
      <c r="AK40" s="55">
        <f>SUMIFS('tuot-INFO'!X:X,'tuot-INFO'!$A:$A,'tuot-PVÄ'!B40)</f>
        <v>8.519999999999996</v>
      </c>
    </row>
    <row r="41" spans="1:37" x14ac:dyDescent="0.25">
      <c r="A41" s="169">
        <f t="shared" si="8"/>
        <v>42527</v>
      </c>
      <c r="B41" s="23">
        <f>ROUNDUP((A41-Yleistiedot!$B$4)/7,0)</f>
        <v>23</v>
      </c>
      <c r="C41" s="16"/>
      <c r="D41" s="25"/>
      <c r="E41" s="25"/>
      <c r="F41" s="25"/>
      <c r="G41" s="25"/>
      <c r="H41" s="25"/>
      <c r="I41" s="65">
        <f t="shared" si="0"/>
        <v>0</v>
      </c>
      <c r="J41" s="26"/>
      <c r="K41" s="25"/>
      <c r="L41" s="16"/>
      <c r="M41" s="16"/>
      <c r="N41" s="25"/>
      <c r="O41" s="30"/>
      <c r="P41" s="252">
        <f t="shared" si="22"/>
        <v>9990</v>
      </c>
      <c r="Q41" s="253">
        <f t="shared" si="23"/>
        <v>0</v>
      </c>
      <c r="R41" s="253">
        <f t="shared" si="24"/>
        <v>0</v>
      </c>
      <c r="S41" s="251">
        <f>SUMIFS('tuot-rehukirjanpito'!D:D,'tuot-rehukirjanpito'!A:A,A41)</f>
        <v>0</v>
      </c>
      <c r="T41" s="254">
        <f t="shared" si="10"/>
        <v>1098.9000000000001</v>
      </c>
      <c r="U41" s="254">
        <f t="shared" si="21"/>
        <v>1098.8999999999999</v>
      </c>
      <c r="V41" s="252">
        <f>IF(SUMIFS('tuot-rehukirjanpito'!E:E,'tuot-rehukirjanpito'!A:A,'tuot-PVÄ'!A41)&gt;0,SUMIFS('tuot-rehukirjanpito'!E:E,'tuot-rehukirjanpito'!A:A,'tuot-PVÄ'!A41),V40+S41-T41)</f>
        <v>-42857.100000000028</v>
      </c>
      <c r="W41" s="255">
        <f t="shared" si="3"/>
        <v>-39.000000000000021</v>
      </c>
      <c r="X41" s="256" t="str">
        <f t="shared" si="19"/>
        <v/>
      </c>
      <c r="Y41" s="256" t="str">
        <f t="shared" si="20"/>
        <v/>
      </c>
      <c r="Z41" s="224" t="str">
        <f>IF(IFERROR(INDEX('tuot-rehukirjanpito'!I:I,MATCH(A41,'tuot-rehukirjanpito'!G:G,0)),"EI")="EI","",INDEX('tuot-rehukirjanpito'!I:I,MATCH(A41,'tuot-rehukirjanpito'!G:G,0)))</f>
        <v/>
      </c>
      <c r="AA41" s="224">
        <f>SUMIFS('tuot-INFO'!$K$10:$K$115,'tuot-INFO'!$A$10:$A$115,'tuot-PVÄ'!B41)</f>
        <v>54.5</v>
      </c>
      <c r="AB41" s="224">
        <f>SUMIFS('rehu-vesi-INFO'!$R:$R,'rehu-vesi-INFO'!$A:$A,'tuot-PVÄ'!B41)</f>
        <v>1494</v>
      </c>
      <c r="AC41" s="224">
        <f>SUMIFS('rehu-vesi-INFO'!$S:$S,'rehu-vesi-INFO'!$A:$A,'tuot-PVÄ'!B41)</f>
        <v>1586</v>
      </c>
      <c r="AD41" s="224">
        <f t="shared" si="4"/>
        <v>92</v>
      </c>
      <c r="AE41" s="224">
        <f t="shared" si="5"/>
        <v>0</v>
      </c>
      <c r="AF41" s="224">
        <f t="shared" si="6"/>
        <v>149.4</v>
      </c>
      <c r="AG41" s="224">
        <f t="shared" si="7"/>
        <v>9.1999999999999993</v>
      </c>
      <c r="AH41" s="257">
        <f t="shared" si="13"/>
        <v>0</v>
      </c>
      <c r="AI41" s="258">
        <f t="shared" si="14"/>
        <v>0</v>
      </c>
      <c r="AJ41" s="55">
        <f>SUMIFS('tuot-INFO'!W:W,'tuot-INFO'!$A:$A,'tuot-PVÄ'!B41)</f>
        <v>79.236000000000004</v>
      </c>
      <c r="AK41" s="55">
        <f>SUMIFS('tuot-INFO'!X:X,'tuot-INFO'!$A:$A,'tuot-PVÄ'!B41)</f>
        <v>8.519999999999996</v>
      </c>
    </row>
    <row r="42" spans="1:37" x14ac:dyDescent="0.25">
      <c r="A42" s="169">
        <f t="shared" si="8"/>
        <v>42528</v>
      </c>
      <c r="B42" s="23">
        <f>ROUNDUP((A42-Yleistiedot!$B$4)/7,0)</f>
        <v>23</v>
      </c>
      <c r="C42" s="16"/>
      <c r="D42" s="25"/>
      <c r="E42" s="25"/>
      <c r="F42" s="25"/>
      <c r="G42" s="25"/>
      <c r="H42" s="25"/>
      <c r="I42" s="65">
        <f t="shared" si="0"/>
        <v>0</v>
      </c>
      <c r="J42" s="26"/>
      <c r="K42" s="25"/>
      <c r="L42" s="16"/>
      <c r="M42" s="16"/>
      <c r="N42" s="25"/>
      <c r="O42" s="30"/>
      <c r="P42" s="252">
        <f t="shared" si="22"/>
        <v>9990</v>
      </c>
      <c r="Q42" s="253">
        <f t="shared" si="23"/>
        <v>0</v>
      </c>
      <c r="R42" s="253">
        <f t="shared" si="24"/>
        <v>0</v>
      </c>
      <c r="S42" s="251">
        <f>SUMIFS('tuot-rehukirjanpito'!D:D,'tuot-rehukirjanpito'!A:A,A42)</f>
        <v>0</v>
      </c>
      <c r="T42" s="254">
        <f t="shared" si="10"/>
        <v>1098.9000000000001</v>
      </c>
      <c r="U42" s="254">
        <f t="shared" si="21"/>
        <v>1098.8999999999999</v>
      </c>
      <c r="V42" s="252">
        <f>IF(SUMIFS('tuot-rehukirjanpito'!E:E,'tuot-rehukirjanpito'!A:A,'tuot-PVÄ'!A42)&gt;0,SUMIFS('tuot-rehukirjanpito'!E:E,'tuot-rehukirjanpito'!A:A,'tuot-PVÄ'!A42),V41+S42-T42)</f>
        <v>-43956.000000000029</v>
      </c>
      <c r="W42" s="255">
        <f t="shared" si="3"/>
        <v>-40.000000000000021</v>
      </c>
      <c r="X42" s="256" t="str">
        <f t="shared" si="19"/>
        <v/>
      </c>
      <c r="Y42" s="256" t="str">
        <f t="shared" si="20"/>
        <v/>
      </c>
      <c r="Z42" s="224" t="str">
        <f>IF(IFERROR(INDEX('tuot-rehukirjanpito'!I:I,MATCH(A42,'tuot-rehukirjanpito'!G:G,0)),"EI")="EI","",INDEX('tuot-rehukirjanpito'!I:I,MATCH(A42,'tuot-rehukirjanpito'!G:G,0)))</f>
        <v/>
      </c>
      <c r="AA42" s="224">
        <f>SUMIFS('tuot-INFO'!$K$10:$K$115,'tuot-INFO'!$A$10:$A$115,'tuot-PVÄ'!B42)</f>
        <v>54.5</v>
      </c>
      <c r="AB42" s="224">
        <f>SUMIFS('rehu-vesi-INFO'!$R:$R,'rehu-vesi-INFO'!$A:$A,'tuot-PVÄ'!B42)</f>
        <v>1494</v>
      </c>
      <c r="AC42" s="224">
        <f>SUMIFS('rehu-vesi-INFO'!$S:$S,'rehu-vesi-INFO'!$A:$A,'tuot-PVÄ'!B42)</f>
        <v>1586</v>
      </c>
      <c r="AD42" s="224">
        <f t="shared" si="4"/>
        <v>92</v>
      </c>
      <c r="AE42" s="224">
        <f t="shared" si="5"/>
        <v>0</v>
      </c>
      <c r="AF42" s="224">
        <f t="shared" si="6"/>
        <v>149.4</v>
      </c>
      <c r="AG42" s="224">
        <f t="shared" si="7"/>
        <v>9.1999999999999993</v>
      </c>
      <c r="AH42" s="257">
        <f t="shared" si="13"/>
        <v>0</v>
      </c>
      <c r="AI42" s="258">
        <f t="shared" si="14"/>
        <v>0</v>
      </c>
      <c r="AJ42" s="55">
        <f>SUMIFS('tuot-INFO'!W:W,'tuot-INFO'!$A:$A,'tuot-PVÄ'!B42)</f>
        <v>79.236000000000004</v>
      </c>
      <c r="AK42" s="55">
        <f>SUMIFS('tuot-INFO'!X:X,'tuot-INFO'!$A:$A,'tuot-PVÄ'!B42)</f>
        <v>8.519999999999996</v>
      </c>
    </row>
    <row r="43" spans="1:37" x14ac:dyDescent="0.25">
      <c r="A43" s="169">
        <f t="shared" si="8"/>
        <v>42529</v>
      </c>
      <c r="B43" s="23">
        <f>ROUNDUP((A43-Yleistiedot!$B$4)/7,0)</f>
        <v>23</v>
      </c>
      <c r="C43" s="16"/>
      <c r="D43" s="25"/>
      <c r="E43" s="25"/>
      <c r="F43" s="25"/>
      <c r="G43" s="25"/>
      <c r="H43" s="25"/>
      <c r="I43" s="65">
        <f t="shared" si="0"/>
        <v>0</v>
      </c>
      <c r="J43" s="26"/>
      <c r="K43" s="25"/>
      <c r="L43" s="16"/>
      <c r="M43" s="16"/>
      <c r="N43" s="25"/>
      <c r="O43" s="176"/>
      <c r="P43" s="252">
        <f t="shared" si="22"/>
        <v>9990</v>
      </c>
      <c r="Q43" s="253">
        <f t="shared" si="23"/>
        <v>0</v>
      </c>
      <c r="R43" s="253">
        <f t="shared" si="24"/>
        <v>0</v>
      </c>
      <c r="S43" s="251">
        <f>SUMIFS('tuot-rehukirjanpito'!D:D,'tuot-rehukirjanpito'!A:A,A43)</f>
        <v>0</v>
      </c>
      <c r="T43" s="254">
        <f t="shared" si="10"/>
        <v>1098.9000000000001</v>
      </c>
      <c r="U43" s="254">
        <f t="shared" si="21"/>
        <v>1098.8999999999999</v>
      </c>
      <c r="V43" s="252">
        <f>IF(SUMIFS('tuot-rehukirjanpito'!E:E,'tuot-rehukirjanpito'!A:A,'tuot-PVÄ'!A43)&gt;0,SUMIFS('tuot-rehukirjanpito'!E:E,'tuot-rehukirjanpito'!A:A,'tuot-PVÄ'!A43),V42+S43-T43)</f>
        <v>-45054.900000000031</v>
      </c>
      <c r="W43" s="255">
        <f t="shared" si="3"/>
        <v>-41.000000000000021</v>
      </c>
      <c r="X43" s="256" t="str">
        <f t="shared" si="19"/>
        <v/>
      </c>
      <c r="Y43" s="256" t="str">
        <f t="shared" si="20"/>
        <v/>
      </c>
      <c r="Z43" s="224" t="str">
        <f>IF(IFERROR(INDEX('tuot-rehukirjanpito'!I:I,MATCH(A43,'tuot-rehukirjanpito'!G:G,0)),"EI")="EI","",INDEX('tuot-rehukirjanpito'!I:I,MATCH(A43,'tuot-rehukirjanpito'!G:G,0)))</f>
        <v/>
      </c>
      <c r="AA43" s="224">
        <f>SUMIFS('tuot-INFO'!$K$10:$K$115,'tuot-INFO'!$A$10:$A$115,'tuot-PVÄ'!B43)</f>
        <v>54.5</v>
      </c>
      <c r="AB43" s="224">
        <f>SUMIFS('rehu-vesi-INFO'!$R:$R,'rehu-vesi-INFO'!$A:$A,'tuot-PVÄ'!B43)</f>
        <v>1494</v>
      </c>
      <c r="AC43" s="224">
        <f>SUMIFS('rehu-vesi-INFO'!$S:$S,'rehu-vesi-INFO'!$A:$A,'tuot-PVÄ'!B43)</f>
        <v>1586</v>
      </c>
      <c r="AD43" s="224">
        <f t="shared" si="4"/>
        <v>92</v>
      </c>
      <c r="AE43" s="224">
        <f t="shared" si="5"/>
        <v>0</v>
      </c>
      <c r="AF43" s="224">
        <f t="shared" si="6"/>
        <v>149.4</v>
      </c>
      <c r="AG43" s="224">
        <f t="shared" si="7"/>
        <v>9.1999999999999993</v>
      </c>
      <c r="AH43" s="257">
        <f t="shared" si="13"/>
        <v>0</v>
      </c>
      <c r="AI43" s="258">
        <f t="shared" si="14"/>
        <v>0</v>
      </c>
      <c r="AJ43" s="55">
        <f>SUMIFS('tuot-INFO'!W:W,'tuot-INFO'!$A:$A,'tuot-PVÄ'!B43)</f>
        <v>79.236000000000004</v>
      </c>
      <c r="AK43" s="55">
        <f>SUMIFS('tuot-INFO'!X:X,'tuot-INFO'!$A:$A,'tuot-PVÄ'!B43)</f>
        <v>8.519999999999996</v>
      </c>
    </row>
    <row r="44" spans="1:37" x14ac:dyDescent="0.25">
      <c r="A44" s="169">
        <f t="shared" si="8"/>
        <v>42530</v>
      </c>
      <c r="B44" s="23">
        <f>ROUNDUP((A44-Yleistiedot!$B$4)/7,0)</f>
        <v>23</v>
      </c>
      <c r="C44" s="16"/>
      <c r="D44" s="25"/>
      <c r="E44" s="25"/>
      <c r="F44" s="25"/>
      <c r="G44" s="25"/>
      <c r="H44" s="25"/>
      <c r="I44" s="65">
        <f t="shared" si="0"/>
        <v>0</v>
      </c>
      <c r="J44" s="26"/>
      <c r="K44" s="25"/>
      <c r="L44" s="16"/>
      <c r="M44" s="16"/>
      <c r="N44" s="25"/>
      <c r="O44" s="30"/>
      <c r="P44" s="252">
        <f t="shared" si="22"/>
        <v>9990</v>
      </c>
      <c r="Q44" s="253">
        <f t="shared" si="23"/>
        <v>0</v>
      </c>
      <c r="R44" s="253">
        <f t="shared" si="24"/>
        <v>0</v>
      </c>
      <c r="S44" s="251">
        <f>SUMIFS('tuot-rehukirjanpito'!D:D,'tuot-rehukirjanpito'!A:A,A44)</f>
        <v>0</v>
      </c>
      <c r="T44" s="254">
        <f t="shared" si="10"/>
        <v>1098.9000000000001</v>
      </c>
      <c r="U44" s="254">
        <f t="shared" si="21"/>
        <v>1098.8999999999999</v>
      </c>
      <c r="V44" s="252">
        <f>IF(SUMIFS('tuot-rehukirjanpito'!E:E,'tuot-rehukirjanpito'!A:A,'tuot-PVÄ'!A44)&gt;0,SUMIFS('tuot-rehukirjanpito'!E:E,'tuot-rehukirjanpito'!A:A,'tuot-PVÄ'!A44),V43+S44-T44)</f>
        <v>-46153.800000000032</v>
      </c>
      <c r="W44" s="255">
        <f t="shared" si="3"/>
        <v>-42.000000000000028</v>
      </c>
      <c r="X44" s="256" t="str">
        <f t="shared" si="19"/>
        <v/>
      </c>
      <c r="Y44" s="256" t="str">
        <f t="shared" si="20"/>
        <v/>
      </c>
      <c r="Z44" s="224" t="str">
        <f>IF(IFERROR(INDEX('tuot-rehukirjanpito'!I:I,MATCH(A44,'tuot-rehukirjanpito'!G:G,0)),"EI")="EI","",INDEX('tuot-rehukirjanpito'!I:I,MATCH(A44,'tuot-rehukirjanpito'!G:G,0)))</f>
        <v/>
      </c>
      <c r="AA44" s="224">
        <f>SUMIFS('tuot-INFO'!$K$10:$K$115,'tuot-INFO'!$A$10:$A$115,'tuot-PVÄ'!B44)</f>
        <v>54.5</v>
      </c>
      <c r="AB44" s="224">
        <f>SUMIFS('rehu-vesi-INFO'!$R:$R,'rehu-vesi-INFO'!$A:$A,'tuot-PVÄ'!B44)</f>
        <v>1494</v>
      </c>
      <c r="AC44" s="224">
        <f>SUMIFS('rehu-vesi-INFO'!$S:$S,'rehu-vesi-INFO'!$A:$A,'tuot-PVÄ'!B44)</f>
        <v>1586</v>
      </c>
      <c r="AD44" s="224">
        <f t="shared" si="4"/>
        <v>92</v>
      </c>
      <c r="AE44" s="224">
        <f t="shared" si="5"/>
        <v>0</v>
      </c>
      <c r="AF44" s="224">
        <f t="shared" si="6"/>
        <v>149.4</v>
      </c>
      <c r="AG44" s="224">
        <f t="shared" si="7"/>
        <v>9.1999999999999993</v>
      </c>
      <c r="AH44" s="257">
        <f t="shared" si="13"/>
        <v>0</v>
      </c>
      <c r="AI44" s="258">
        <f t="shared" si="14"/>
        <v>0</v>
      </c>
      <c r="AJ44" s="55">
        <f>SUMIFS('tuot-INFO'!W:W,'tuot-INFO'!$A:$A,'tuot-PVÄ'!B44)</f>
        <v>79.236000000000004</v>
      </c>
      <c r="AK44" s="55">
        <f>SUMIFS('tuot-INFO'!X:X,'tuot-INFO'!$A:$A,'tuot-PVÄ'!B44)</f>
        <v>8.519999999999996</v>
      </c>
    </row>
    <row r="45" spans="1:37" x14ac:dyDescent="0.25">
      <c r="A45" s="169">
        <f t="shared" si="8"/>
        <v>42531</v>
      </c>
      <c r="B45" s="23">
        <f>ROUNDUP((A45-Yleistiedot!$B$4)/7,0)</f>
        <v>23</v>
      </c>
      <c r="C45" s="16"/>
      <c r="D45" s="25"/>
      <c r="E45" s="25"/>
      <c r="F45" s="25"/>
      <c r="G45" s="25"/>
      <c r="H45" s="25"/>
      <c r="I45" s="65">
        <f t="shared" si="0"/>
        <v>0</v>
      </c>
      <c r="J45" s="26"/>
      <c r="K45" s="25"/>
      <c r="L45" s="16"/>
      <c r="M45" s="16"/>
      <c r="N45" s="25"/>
      <c r="O45" s="30"/>
      <c r="P45" s="252">
        <f t="shared" si="22"/>
        <v>9990</v>
      </c>
      <c r="Q45" s="253">
        <f t="shared" si="23"/>
        <v>0</v>
      </c>
      <c r="R45" s="253">
        <f t="shared" si="24"/>
        <v>0</v>
      </c>
      <c r="S45" s="251">
        <f>SUMIFS('tuot-rehukirjanpito'!D:D,'tuot-rehukirjanpito'!A:A,A45)</f>
        <v>0</v>
      </c>
      <c r="T45" s="254">
        <f t="shared" si="10"/>
        <v>1098.9000000000001</v>
      </c>
      <c r="U45" s="254">
        <f t="shared" si="21"/>
        <v>1098.8999999999999</v>
      </c>
      <c r="V45" s="252">
        <f>IF(SUMIFS('tuot-rehukirjanpito'!E:E,'tuot-rehukirjanpito'!A:A,'tuot-PVÄ'!A45)&gt;0,SUMIFS('tuot-rehukirjanpito'!E:E,'tuot-rehukirjanpito'!A:A,'tuot-PVÄ'!A45),V44+S45-T45)</f>
        <v>-47252.700000000033</v>
      </c>
      <c r="W45" s="255">
        <f t="shared" si="3"/>
        <v>-43.000000000000028</v>
      </c>
      <c r="X45" s="256" t="str">
        <f t="shared" si="19"/>
        <v/>
      </c>
      <c r="Y45" s="256" t="str">
        <f t="shared" si="20"/>
        <v/>
      </c>
      <c r="Z45" s="224" t="str">
        <f>IF(IFERROR(INDEX('tuot-rehukirjanpito'!I:I,MATCH(A45,'tuot-rehukirjanpito'!G:G,0)),"EI")="EI","",INDEX('tuot-rehukirjanpito'!I:I,MATCH(A45,'tuot-rehukirjanpito'!G:G,0)))</f>
        <v/>
      </c>
      <c r="AA45" s="224">
        <f>SUMIFS('tuot-INFO'!$K$10:$K$115,'tuot-INFO'!$A$10:$A$115,'tuot-PVÄ'!B45)</f>
        <v>54.5</v>
      </c>
      <c r="AB45" s="224">
        <f>SUMIFS('rehu-vesi-INFO'!$R:$R,'rehu-vesi-INFO'!$A:$A,'tuot-PVÄ'!B45)</f>
        <v>1494</v>
      </c>
      <c r="AC45" s="224">
        <f>SUMIFS('rehu-vesi-INFO'!$S:$S,'rehu-vesi-INFO'!$A:$A,'tuot-PVÄ'!B45)</f>
        <v>1586</v>
      </c>
      <c r="AD45" s="224">
        <f t="shared" si="4"/>
        <v>92</v>
      </c>
      <c r="AE45" s="224">
        <f t="shared" si="5"/>
        <v>0</v>
      </c>
      <c r="AF45" s="224">
        <f t="shared" si="6"/>
        <v>149.4</v>
      </c>
      <c r="AG45" s="224">
        <f t="shared" si="7"/>
        <v>9.1999999999999993</v>
      </c>
      <c r="AH45" s="257">
        <f t="shared" si="13"/>
        <v>0</v>
      </c>
      <c r="AI45" s="258">
        <f t="shared" si="14"/>
        <v>0</v>
      </c>
      <c r="AJ45" s="55">
        <f>SUMIFS('tuot-INFO'!W:W,'tuot-INFO'!$A:$A,'tuot-PVÄ'!B45)</f>
        <v>79.236000000000004</v>
      </c>
      <c r="AK45" s="55">
        <f>SUMIFS('tuot-INFO'!X:X,'tuot-INFO'!$A:$A,'tuot-PVÄ'!B45)</f>
        <v>8.519999999999996</v>
      </c>
    </row>
    <row r="46" spans="1:37" x14ac:dyDescent="0.25">
      <c r="A46" s="169">
        <f t="shared" si="8"/>
        <v>42532</v>
      </c>
      <c r="B46" s="23">
        <f>ROUNDUP((A46-Yleistiedot!$B$4)/7,0)</f>
        <v>24</v>
      </c>
      <c r="C46" s="16"/>
      <c r="D46" s="25"/>
      <c r="E46" s="25"/>
      <c r="F46" s="25"/>
      <c r="G46" s="25"/>
      <c r="H46" s="25"/>
      <c r="I46" s="65">
        <f t="shared" si="0"/>
        <v>0</v>
      </c>
      <c r="J46" s="26"/>
      <c r="K46" s="25"/>
      <c r="L46" s="16"/>
      <c r="M46" s="16"/>
      <c r="N46" s="25"/>
      <c r="O46" s="30"/>
      <c r="P46" s="252">
        <f t="shared" si="22"/>
        <v>9990</v>
      </c>
      <c r="Q46" s="253">
        <f t="shared" si="23"/>
        <v>0</v>
      </c>
      <c r="R46" s="253">
        <f t="shared" si="24"/>
        <v>0</v>
      </c>
      <c r="S46" s="251">
        <f>SUMIFS('tuot-rehukirjanpito'!D:D,'tuot-rehukirjanpito'!A:A,A46)</f>
        <v>0</v>
      </c>
      <c r="T46" s="254">
        <f t="shared" si="10"/>
        <v>1098.9000000000001</v>
      </c>
      <c r="U46" s="254">
        <f t="shared" si="21"/>
        <v>1098.8999999999999</v>
      </c>
      <c r="V46" s="252">
        <f>IF(SUMIFS('tuot-rehukirjanpito'!E:E,'tuot-rehukirjanpito'!A:A,'tuot-PVÄ'!A46)&gt;0,SUMIFS('tuot-rehukirjanpito'!E:E,'tuot-rehukirjanpito'!A:A,'tuot-PVÄ'!A46),V45+S46-T46)</f>
        <v>-48351.600000000035</v>
      </c>
      <c r="W46" s="255">
        <f t="shared" si="3"/>
        <v>-44.000000000000028</v>
      </c>
      <c r="X46" s="256" t="str">
        <f t="shared" si="19"/>
        <v/>
      </c>
      <c r="Y46" s="256" t="str">
        <f t="shared" si="20"/>
        <v/>
      </c>
      <c r="Z46" s="224" t="str">
        <f>IF(IFERROR(INDEX('tuot-rehukirjanpito'!I:I,MATCH(A46,'tuot-rehukirjanpito'!G:G,0)),"EI")="EI","",INDEX('tuot-rehukirjanpito'!I:I,MATCH(A46,'tuot-rehukirjanpito'!G:G,0)))</f>
        <v/>
      </c>
      <c r="AA46" s="224">
        <f>SUMIFS('tuot-INFO'!$K$10:$K$115,'tuot-INFO'!$A$10:$A$115,'tuot-PVÄ'!B46)</f>
        <v>55.8</v>
      </c>
      <c r="AB46" s="224">
        <f>SUMIFS('rehu-vesi-INFO'!$R:$R,'rehu-vesi-INFO'!$A:$A,'tuot-PVÄ'!B46)</f>
        <v>1533</v>
      </c>
      <c r="AC46" s="224">
        <f>SUMIFS('rehu-vesi-INFO'!$S:$S,'rehu-vesi-INFO'!$A:$A,'tuot-PVÄ'!B46)</f>
        <v>1627</v>
      </c>
      <c r="AD46" s="224">
        <f t="shared" si="4"/>
        <v>94</v>
      </c>
      <c r="AE46" s="224">
        <f t="shared" si="5"/>
        <v>0</v>
      </c>
      <c r="AF46" s="224">
        <f t="shared" si="6"/>
        <v>153.30000000000001</v>
      </c>
      <c r="AG46" s="224">
        <f t="shared" si="7"/>
        <v>9.4</v>
      </c>
      <c r="AH46" s="257">
        <f t="shared" si="13"/>
        <v>0</v>
      </c>
      <c r="AI46" s="258">
        <f t="shared" si="14"/>
        <v>0</v>
      </c>
      <c r="AJ46" s="55">
        <f>SUMIFS('tuot-INFO'!W:W,'tuot-INFO'!$A:$A,'tuot-PVÄ'!B46)</f>
        <v>84.072000000000003</v>
      </c>
      <c r="AK46" s="55">
        <f>SUMIFS('tuot-INFO'!X:X,'tuot-INFO'!$A:$A,'tuot-PVÄ'!B46)</f>
        <v>9.0400000000000063</v>
      </c>
    </row>
    <row r="47" spans="1:37" x14ac:dyDescent="0.25">
      <c r="A47" s="169">
        <f t="shared" si="8"/>
        <v>42533</v>
      </c>
      <c r="B47" s="23">
        <f>ROUNDUP((A47-Yleistiedot!$B$4)/7,0)</f>
        <v>24</v>
      </c>
      <c r="C47" s="16"/>
      <c r="D47" s="25"/>
      <c r="E47" s="25"/>
      <c r="F47" s="25"/>
      <c r="G47" s="25"/>
      <c r="H47" s="25"/>
      <c r="I47" s="65">
        <f t="shared" si="0"/>
        <v>0</v>
      </c>
      <c r="J47" s="26"/>
      <c r="K47" s="25"/>
      <c r="L47" s="16"/>
      <c r="M47" s="16"/>
      <c r="N47" s="25"/>
      <c r="O47" s="30"/>
      <c r="P47" s="252">
        <f t="shared" si="22"/>
        <v>9990</v>
      </c>
      <c r="Q47" s="253">
        <f t="shared" si="23"/>
        <v>0</v>
      </c>
      <c r="R47" s="253">
        <f t="shared" si="24"/>
        <v>0</v>
      </c>
      <c r="S47" s="251">
        <f>SUMIFS('tuot-rehukirjanpito'!D:D,'tuot-rehukirjanpito'!A:A,A47)</f>
        <v>0</v>
      </c>
      <c r="T47" s="254">
        <f t="shared" si="10"/>
        <v>1098.9000000000001</v>
      </c>
      <c r="U47" s="254">
        <f t="shared" si="21"/>
        <v>1098.8999999999999</v>
      </c>
      <c r="V47" s="252">
        <f>IF(SUMIFS('tuot-rehukirjanpito'!E:E,'tuot-rehukirjanpito'!A:A,'tuot-PVÄ'!A47)&gt;0,SUMIFS('tuot-rehukirjanpito'!E:E,'tuot-rehukirjanpito'!A:A,'tuot-PVÄ'!A47),V46+S47-T47)</f>
        <v>-49450.500000000036</v>
      </c>
      <c r="W47" s="255">
        <f t="shared" si="3"/>
        <v>-45.000000000000028</v>
      </c>
      <c r="X47" s="256" t="str">
        <f t="shared" si="19"/>
        <v/>
      </c>
      <c r="Y47" s="256" t="str">
        <f t="shared" si="20"/>
        <v/>
      </c>
      <c r="Z47" s="224" t="str">
        <f>IF(IFERROR(INDEX('tuot-rehukirjanpito'!I:I,MATCH(A47,'tuot-rehukirjanpito'!G:G,0)),"EI")="EI","",INDEX('tuot-rehukirjanpito'!I:I,MATCH(A47,'tuot-rehukirjanpito'!G:G,0)))</f>
        <v/>
      </c>
      <c r="AA47" s="224">
        <f>SUMIFS('tuot-INFO'!$K$10:$K$115,'tuot-INFO'!$A$10:$A$115,'tuot-PVÄ'!B47)</f>
        <v>55.8</v>
      </c>
      <c r="AB47" s="224">
        <f>SUMIFS('rehu-vesi-INFO'!$R:$R,'rehu-vesi-INFO'!$A:$A,'tuot-PVÄ'!B47)</f>
        <v>1533</v>
      </c>
      <c r="AC47" s="224">
        <f>SUMIFS('rehu-vesi-INFO'!$S:$S,'rehu-vesi-INFO'!$A:$A,'tuot-PVÄ'!B47)</f>
        <v>1627</v>
      </c>
      <c r="AD47" s="224">
        <f t="shared" si="4"/>
        <v>94</v>
      </c>
      <c r="AE47" s="224">
        <f t="shared" si="5"/>
        <v>0</v>
      </c>
      <c r="AF47" s="224">
        <f t="shared" si="6"/>
        <v>153.30000000000001</v>
      </c>
      <c r="AG47" s="224">
        <f t="shared" si="7"/>
        <v>9.4</v>
      </c>
      <c r="AH47" s="257">
        <f t="shared" si="13"/>
        <v>0</v>
      </c>
      <c r="AI47" s="258">
        <f t="shared" si="14"/>
        <v>0</v>
      </c>
      <c r="AJ47" s="55">
        <f>SUMIFS('tuot-INFO'!W:W,'tuot-INFO'!$A:$A,'tuot-PVÄ'!B47)</f>
        <v>84.072000000000003</v>
      </c>
      <c r="AK47" s="55">
        <f>SUMIFS('tuot-INFO'!X:X,'tuot-INFO'!$A:$A,'tuot-PVÄ'!B47)</f>
        <v>9.0400000000000063</v>
      </c>
    </row>
    <row r="48" spans="1:37" x14ac:dyDescent="0.25">
      <c r="A48" s="169">
        <f t="shared" si="8"/>
        <v>42534</v>
      </c>
      <c r="B48" s="23">
        <f>ROUNDUP((A48-Yleistiedot!$B$4)/7,0)</f>
        <v>24</v>
      </c>
      <c r="C48" s="16"/>
      <c r="D48" s="25"/>
      <c r="E48" s="25"/>
      <c r="F48" s="25"/>
      <c r="G48" s="25"/>
      <c r="H48" s="25"/>
      <c r="I48" s="65">
        <f t="shared" si="0"/>
        <v>0</v>
      </c>
      <c r="J48" s="26"/>
      <c r="K48" s="25"/>
      <c r="L48" s="16"/>
      <c r="M48" s="16"/>
      <c r="N48" s="25"/>
      <c r="O48" s="30"/>
      <c r="P48" s="252">
        <f t="shared" si="22"/>
        <v>9990</v>
      </c>
      <c r="Q48" s="253">
        <f t="shared" si="23"/>
        <v>0</v>
      </c>
      <c r="R48" s="253">
        <f t="shared" si="24"/>
        <v>0</v>
      </c>
      <c r="S48" s="251">
        <f>SUMIFS('tuot-rehukirjanpito'!D:D,'tuot-rehukirjanpito'!A:A,A48)</f>
        <v>0</v>
      </c>
      <c r="T48" s="254">
        <f t="shared" si="10"/>
        <v>1098.9000000000001</v>
      </c>
      <c r="U48" s="254">
        <f t="shared" si="21"/>
        <v>1098.8999999999999</v>
      </c>
      <c r="V48" s="252">
        <f>IF(SUMIFS('tuot-rehukirjanpito'!E:E,'tuot-rehukirjanpito'!A:A,'tuot-PVÄ'!A48)&gt;0,SUMIFS('tuot-rehukirjanpito'!E:E,'tuot-rehukirjanpito'!A:A,'tuot-PVÄ'!A48),V47+S48-T48)</f>
        <v>-50549.400000000038</v>
      </c>
      <c r="W48" s="255">
        <f t="shared" si="3"/>
        <v>-46.000000000000028</v>
      </c>
      <c r="X48" s="256" t="str">
        <f t="shared" si="19"/>
        <v/>
      </c>
      <c r="Y48" s="256" t="str">
        <f t="shared" si="20"/>
        <v/>
      </c>
      <c r="Z48" s="224" t="str">
        <f>IF(IFERROR(INDEX('tuot-rehukirjanpito'!I:I,MATCH(A48,'tuot-rehukirjanpito'!G:G,0)),"EI")="EI","",INDEX('tuot-rehukirjanpito'!I:I,MATCH(A48,'tuot-rehukirjanpito'!G:G,0)))</f>
        <v/>
      </c>
      <c r="AA48" s="224">
        <f>SUMIFS('tuot-INFO'!$K$10:$K$115,'tuot-INFO'!$A$10:$A$115,'tuot-PVÄ'!B48)</f>
        <v>55.8</v>
      </c>
      <c r="AB48" s="224">
        <f>SUMIFS('rehu-vesi-INFO'!$R:$R,'rehu-vesi-INFO'!$A:$A,'tuot-PVÄ'!B48)</f>
        <v>1533</v>
      </c>
      <c r="AC48" s="224">
        <f>SUMIFS('rehu-vesi-INFO'!$S:$S,'rehu-vesi-INFO'!$A:$A,'tuot-PVÄ'!B48)</f>
        <v>1627</v>
      </c>
      <c r="AD48" s="224">
        <f t="shared" si="4"/>
        <v>94</v>
      </c>
      <c r="AE48" s="224">
        <f t="shared" si="5"/>
        <v>0</v>
      </c>
      <c r="AF48" s="224">
        <f t="shared" si="6"/>
        <v>153.30000000000001</v>
      </c>
      <c r="AG48" s="224">
        <f t="shared" si="7"/>
        <v>9.4</v>
      </c>
      <c r="AH48" s="257">
        <f t="shared" si="13"/>
        <v>0</v>
      </c>
      <c r="AI48" s="258">
        <f t="shared" si="14"/>
        <v>0</v>
      </c>
      <c r="AJ48" s="55">
        <f>SUMIFS('tuot-INFO'!W:W,'tuot-INFO'!$A:$A,'tuot-PVÄ'!B48)</f>
        <v>84.072000000000003</v>
      </c>
      <c r="AK48" s="55">
        <f>SUMIFS('tuot-INFO'!X:X,'tuot-INFO'!$A:$A,'tuot-PVÄ'!B48)</f>
        <v>9.0400000000000063</v>
      </c>
    </row>
    <row r="49" spans="1:37" x14ac:dyDescent="0.25">
      <c r="A49" s="169">
        <f t="shared" si="8"/>
        <v>42535</v>
      </c>
      <c r="B49" s="23">
        <f>ROUNDUP((A49-Yleistiedot!$B$4)/7,0)</f>
        <v>24</v>
      </c>
      <c r="C49" s="16"/>
      <c r="D49" s="25"/>
      <c r="E49" s="25"/>
      <c r="F49" s="25"/>
      <c r="G49" s="25"/>
      <c r="H49" s="25"/>
      <c r="I49" s="65">
        <f t="shared" si="0"/>
        <v>0</v>
      </c>
      <c r="J49" s="26"/>
      <c r="K49" s="25"/>
      <c r="L49" s="16"/>
      <c r="M49" s="16"/>
      <c r="N49" s="25"/>
      <c r="O49" s="176"/>
      <c r="P49" s="252">
        <f t="shared" si="22"/>
        <v>9990</v>
      </c>
      <c r="Q49" s="253">
        <f t="shared" si="23"/>
        <v>0</v>
      </c>
      <c r="R49" s="253">
        <f t="shared" si="24"/>
        <v>0</v>
      </c>
      <c r="S49" s="251">
        <f>SUMIFS('tuot-rehukirjanpito'!D:D,'tuot-rehukirjanpito'!A:A,A49)</f>
        <v>0</v>
      </c>
      <c r="T49" s="254">
        <f t="shared" si="10"/>
        <v>1098.9000000000001</v>
      </c>
      <c r="U49" s="254">
        <f t="shared" si="21"/>
        <v>1098.8999999999999</v>
      </c>
      <c r="V49" s="252">
        <f>IF(SUMIFS('tuot-rehukirjanpito'!E:E,'tuot-rehukirjanpito'!A:A,'tuot-PVÄ'!A49)&gt;0,SUMIFS('tuot-rehukirjanpito'!E:E,'tuot-rehukirjanpito'!A:A,'tuot-PVÄ'!A49),V48+S49-T49)</f>
        <v>-51648.300000000039</v>
      </c>
      <c r="W49" s="255">
        <f>IFERROR(V49/T49,"")</f>
        <v>-47.000000000000028</v>
      </c>
      <c r="X49" s="256" t="str">
        <f t="shared" si="19"/>
        <v/>
      </c>
      <c r="Y49" s="256" t="str">
        <f t="shared" si="20"/>
        <v/>
      </c>
      <c r="Z49" s="224" t="str">
        <f>IF(IFERROR(INDEX('tuot-rehukirjanpito'!I:I,MATCH(A49,'tuot-rehukirjanpito'!G:G,0)),"EI")="EI","",INDEX('tuot-rehukirjanpito'!I:I,MATCH(A49,'tuot-rehukirjanpito'!G:G,0)))</f>
        <v/>
      </c>
      <c r="AA49" s="224">
        <f>SUMIFS('tuot-INFO'!$K$10:$K$115,'tuot-INFO'!$A$10:$A$115,'tuot-PVÄ'!B49)</f>
        <v>55.8</v>
      </c>
      <c r="AB49" s="224">
        <f>SUMIFS('rehu-vesi-INFO'!$R:$R,'rehu-vesi-INFO'!$A:$A,'tuot-PVÄ'!B49)</f>
        <v>1533</v>
      </c>
      <c r="AC49" s="224">
        <f>SUMIFS('rehu-vesi-INFO'!$S:$S,'rehu-vesi-INFO'!$A:$A,'tuot-PVÄ'!B49)</f>
        <v>1627</v>
      </c>
      <c r="AD49" s="224">
        <f t="shared" si="4"/>
        <v>94</v>
      </c>
      <c r="AE49" s="224">
        <f t="shared" si="5"/>
        <v>0</v>
      </c>
      <c r="AF49" s="224">
        <f t="shared" si="6"/>
        <v>153.30000000000001</v>
      </c>
      <c r="AG49" s="224">
        <f t="shared" si="7"/>
        <v>9.4</v>
      </c>
      <c r="AH49" s="257">
        <f t="shared" si="13"/>
        <v>0</v>
      </c>
      <c r="AI49" s="258">
        <f t="shared" si="14"/>
        <v>0</v>
      </c>
      <c r="AJ49" s="55">
        <f>SUMIFS('tuot-INFO'!W:W,'tuot-INFO'!$A:$A,'tuot-PVÄ'!B49)</f>
        <v>84.072000000000003</v>
      </c>
      <c r="AK49" s="55">
        <f>SUMIFS('tuot-INFO'!X:X,'tuot-INFO'!$A:$A,'tuot-PVÄ'!B49)</f>
        <v>9.0400000000000063</v>
      </c>
    </row>
    <row r="50" spans="1:37" x14ac:dyDescent="0.25">
      <c r="A50" s="169">
        <f t="shared" si="8"/>
        <v>42536</v>
      </c>
      <c r="B50" s="23">
        <f>ROUNDUP((A50-Yleistiedot!$B$4)/7,0)</f>
        <v>24</v>
      </c>
      <c r="C50" s="16"/>
      <c r="D50" s="25"/>
      <c r="E50" s="25"/>
      <c r="F50" s="25"/>
      <c r="G50" s="25"/>
      <c r="H50" s="25"/>
      <c r="I50" s="65">
        <f t="shared" si="0"/>
        <v>0</v>
      </c>
      <c r="J50" s="26"/>
      <c r="K50" s="25"/>
      <c r="L50" s="16"/>
      <c r="M50" s="16"/>
      <c r="N50" s="25"/>
      <c r="O50" s="30"/>
      <c r="P50" s="252">
        <f t="shared" si="22"/>
        <v>9990</v>
      </c>
      <c r="Q50" s="253">
        <f t="shared" si="23"/>
        <v>0</v>
      </c>
      <c r="R50" s="253">
        <f t="shared" si="24"/>
        <v>0</v>
      </c>
      <c r="S50" s="251">
        <f>SUMIFS('tuot-rehukirjanpito'!D:D,'tuot-rehukirjanpito'!A:A,A50)</f>
        <v>0</v>
      </c>
      <c r="T50" s="254">
        <f t="shared" si="10"/>
        <v>1098.9000000000001</v>
      </c>
      <c r="U50" s="254">
        <f t="shared" si="21"/>
        <v>1098.8999999999999</v>
      </c>
      <c r="V50" s="252">
        <f>IF(SUMIFS('tuot-rehukirjanpito'!E:E,'tuot-rehukirjanpito'!A:A,'tuot-PVÄ'!A50)&gt;0,SUMIFS('tuot-rehukirjanpito'!E:E,'tuot-rehukirjanpito'!A:A,'tuot-PVÄ'!A50),V49+S50-T50)</f>
        <v>-52747.200000000041</v>
      </c>
      <c r="W50" s="255">
        <f t="shared" si="3"/>
        <v>-48.000000000000036</v>
      </c>
      <c r="X50" s="256" t="str">
        <f t="shared" si="19"/>
        <v/>
      </c>
      <c r="Y50" s="256" t="str">
        <f t="shared" si="20"/>
        <v/>
      </c>
      <c r="Z50" s="224" t="str">
        <f>IF(IFERROR(INDEX('tuot-rehukirjanpito'!I:I,MATCH(A50,'tuot-rehukirjanpito'!G:G,0)),"EI")="EI","",INDEX('tuot-rehukirjanpito'!I:I,MATCH(A50,'tuot-rehukirjanpito'!G:G,0)))</f>
        <v/>
      </c>
      <c r="AA50" s="224">
        <f>SUMIFS('tuot-INFO'!$K$10:$K$115,'tuot-INFO'!$A$10:$A$115,'tuot-PVÄ'!B50)</f>
        <v>55.8</v>
      </c>
      <c r="AB50" s="224">
        <f>SUMIFS('rehu-vesi-INFO'!$R:$R,'rehu-vesi-INFO'!$A:$A,'tuot-PVÄ'!B50)</f>
        <v>1533</v>
      </c>
      <c r="AC50" s="224">
        <f>SUMIFS('rehu-vesi-INFO'!$S:$S,'rehu-vesi-INFO'!$A:$A,'tuot-PVÄ'!B50)</f>
        <v>1627</v>
      </c>
      <c r="AD50" s="224">
        <f t="shared" si="4"/>
        <v>94</v>
      </c>
      <c r="AE50" s="224">
        <f t="shared" si="5"/>
        <v>0</v>
      </c>
      <c r="AF50" s="224">
        <f t="shared" si="6"/>
        <v>153.30000000000001</v>
      </c>
      <c r="AG50" s="224">
        <f t="shared" si="7"/>
        <v>9.4</v>
      </c>
      <c r="AH50" s="257">
        <f t="shared" si="13"/>
        <v>0</v>
      </c>
      <c r="AI50" s="258">
        <f t="shared" si="14"/>
        <v>0</v>
      </c>
      <c r="AJ50" s="55">
        <f>SUMIFS('tuot-INFO'!W:W,'tuot-INFO'!$A:$A,'tuot-PVÄ'!B50)</f>
        <v>84.072000000000003</v>
      </c>
      <c r="AK50" s="55">
        <f>SUMIFS('tuot-INFO'!X:X,'tuot-INFO'!$A:$A,'tuot-PVÄ'!B50)</f>
        <v>9.0400000000000063</v>
      </c>
    </row>
    <row r="51" spans="1:37" x14ac:dyDescent="0.25">
      <c r="A51" s="169">
        <f t="shared" si="8"/>
        <v>42537</v>
      </c>
      <c r="B51" s="23">
        <f>ROUNDUP((A51-Yleistiedot!$B$4)/7,0)</f>
        <v>24</v>
      </c>
      <c r="C51" s="16"/>
      <c r="D51" s="25"/>
      <c r="E51" s="25"/>
      <c r="F51" s="25"/>
      <c r="G51" s="25"/>
      <c r="H51" s="25"/>
      <c r="I51" s="65">
        <f t="shared" si="0"/>
        <v>0</v>
      </c>
      <c r="J51" s="26"/>
      <c r="K51" s="25"/>
      <c r="L51" s="16"/>
      <c r="M51" s="16"/>
      <c r="N51" s="25"/>
      <c r="O51" s="30"/>
      <c r="P51" s="252">
        <f t="shared" si="22"/>
        <v>9990</v>
      </c>
      <c r="Q51" s="253">
        <f t="shared" si="23"/>
        <v>0</v>
      </c>
      <c r="R51" s="253">
        <f t="shared" si="24"/>
        <v>0</v>
      </c>
      <c r="S51" s="251">
        <f>SUMIFS('tuot-rehukirjanpito'!D:D,'tuot-rehukirjanpito'!A:A,A51)</f>
        <v>0</v>
      </c>
      <c r="T51" s="254">
        <f t="shared" si="10"/>
        <v>1098.9000000000001</v>
      </c>
      <c r="U51" s="254">
        <f t="shared" si="21"/>
        <v>1098.8999999999999</v>
      </c>
      <c r="V51" s="252">
        <f>IF(SUMIFS('tuot-rehukirjanpito'!E:E,'tuot-rehukirjanpito'!A:A,'tuot-PVÄ'!A51)&gt;0,SUMIFS('tuot-rehukirjanpito'!E:E,'tuot-rehukirjanpito'!A:A,'tuot-PVÄ'!A51),V50+S51-T51)</f>
        <v>-53846.100000000042</v>
      </c>
      <c r="W51" s="255">
        <f t="shared" si="3"/>
        <v>-49.000000000000036</v>
      </c>
      <c r="X51" s="256" t="str">
        <f t="shared" si="19"/>
        <v/>
      </c>
      <c r="Y51" s="256" t="str">
        <f t="shared" si="20"/>
        <v/>
      </c>
      <c r="Z51" s="224" t="str">
        <f>IF(IFERROR(INDEX('tuot-rehukirjanpito'!I:I,MATCH(A51,'tuot-rehukirjanpito'!G:G,0)),"EI")="EI","",INDEX('tuot-rehukirjanpito'!I:I,MATCH(A51,'tuot-rehukirjanpito'!G:G,0)))</f>
        <v/>
      </c>
      <c r="AA51" s="224">
        <f>SUMIFS('tuot-INFO'!$K$10:$K$115,'tuot-INFO'!$A$10:$A$115,'tuot-PVÄ'!B51)</f>
        <v>55.8</v>
      </c>
      <c r="AB51" s="224">
        <f>SUMIFS('rehu-vesi-INFO'!$R:$R,'rehu-vesi-INFO'!$A:$A,'tuot-PVÄ'!B51)</f>
        <v>1533</v>
      </c>
      <c r="AC51" s="224">
        <f>SUMIFS('rehu-vesi-INFO'!$S:$S,'rehu-vesi-INFO'!$A:$A,'tuot-PVÄ'!B51)</f>
        <v>1627</v>
      </c>
      <c r="AD51" s="224">
        <f t="shared" si="4"/>
        <v>94</v>
      </c>
      <c r="AE51" s="224">
        <f t="shared" si="5"/>
        <v>0</v>
      </c>
      <c r="AF51" s="224">
        <f t="shared" si="6"/>
        <v>153.30000000000001</v>
      </c>
      <c r="AG51" s="224">
        <f t="shared" si="7"/>
        <v>9.4</v>
      </c>
      <c r="AH51" s="257">
        <f t="shared" si="13"/>
        <v>0</v>
      </c>
      <c r="AI51" s="258">
        <f t="shared" si="14"/>
        <v>0</v>
      </c>
      <c r="AJ51" s="55">
        <f>SUMIFS('tuot-INFO'!W:W,'tuot-INFO'!$A:$A,'tuot-PVÄ'!B51)</f>
        <v>84.072000000000003</v>
      </c>
      <c r="AK51" s="55">
        <f>SUMIFS('tuot-INFO'!X:X,'tuot-INFO'!$A:$A,'tuot-PVÄ'!B51)</f>
        <v>9.0400000000000063</v>
      </c>
    </row>
    <row r="52" spans="1:37" x14ac:dyDescent="0.25">
      <c r="A52" s="169">
        <f t="shared" si="8"/>
        <v>42538</v>
      </c>
      <c r="B52" s="23">
        <f>ROUNDUP((A52-Yleistiedot!$B$4)/7,0)</f>
        <v>24</v>
      </c>
      <c r="C52" s="16"/>
      <c r="D52" s="25"/>
      <c r="E52" s="25"/>
      <c r="F52" s="25"/>
      <c r="G52" s="25"/>
      <c r="H52" s="25"/>
      <c r="I52" s="65">
        <f t="shared" si="0"/>
        <v>0</v>
      </c>
      <c r="J52" s="26"/>
      <c r="K52" s="25"/>
      <c r="L52" s="16"/>
      <c r="M52" s="16"/>
      <c r="N52" s="25"/>
      <c r="O52" s="30"/>
      <c r="P52" s="252">
        <f t="shared" si="22"/>
        <v>9990</v>
      </c>
      <c r="Q52" s="253">
        <f t="shared" si="23"/>
        <v>0</v>
      </c>
      <c r="R52" s="253">
        <f t="shared" si="24"/>
        <v>0</v>
      </c>
      <c r="S52" s="251">
        <f>SUMIFS('tuot-rehukirjanpito'!D:D,'tuot-rehukirjanpito'!A:A,A52)</f>
        <v>0</v>
      </c>
      <c r="T52" s="254">
        <f t="shared" si="10"/>
        <v>1098.9000000000001</v>
      </c>
      <c r="U52" s="254">
        <f t="shared" si="21"/>
        <v>1098.8999999999999</v>
      </c>
      <c r="V52" s="252">
        <f>IF(SUMIFS('tuot-rehukirjanpito'!E:E,'tuot-rehukirjanpito'!A:A,'tuot-PVÄ'!A52)&gt;0,SUMIFS('tuot-rehukirjanpito'!E:E,'tuot-rehukirjanpito'!A:A,'tuot-PVÄ'!A52),V51+S52-T52)</f>
        <v>-54945.000000000044</v>
      </c>
      <c r="W52" s="255">
        <f t="shared" si="3"/>
        <v>-50.000000000000036</v>
      </c>
      <c r="X52" s="256" t="str">
        <f t="shared" si="19"/>
        <v/>
      </c>
      <c r="Y52" s="256" t="str">
        <f t="shared" si="20"/>
        <v/>
      </c>
      <c r="Z52" s="224" t="str">
        <f>IF(IFERROR(INDEX('tuot-rehukirjanpito'!I:I,MATCH(A52,'tuot-rehukirjanpito'!G:G,0)),"EI")="EI","",INDEX('tuot-rehukirjanpito'!I:I,MATCH(A52,'tuot-rehukirjanpito'!G:G,0)))</f>
        <v/>
      </c>
      <c r="AA52" s="224">
        <f>SUMIFS('tuot-INFO'!$K$10:$K$115,'tuot-INFO'!$A$10:$A$115,'tuot-PVÄ'!B52)</f>
        <v>55.8</v>
      </c>
      <c r="AB52" s="224">
        <f>SUMIFS('rehu-vesi-INFO'!$R:$R,'rehu-vesi-INFO'!$A:$A,'tuot-PVÄ'!B52)</f>
        <v>1533</v>
      </c>
      <c r="AC52" s="224">
        <f>SUMIFS('rehu-vesi-INFO'!$S:$S,'rehu-vesi-INFO'!$A:$A,'tuot-PVÄ'!B52)</f>
        <v>1627</v>
      </c>
      <c r="AD52" s="224">
        <f t="shared" si="4"/>
        <v>94</v>
      </c>
      <c r="AE52" s="224">
        <f t="shared" si="5"/>
        <v>0</v>
      </c>
      <c r="AF52" s="224">
        <f t="shared" si="6"/>
        <v>153.30000000000001</v>
      </c>
      <c r="AG52" s="224">
        <f t="shared" si="7"/>
        <v>9.4</v>
      </c>
      <c r="AH52" s="257">
        <f t="shared" si="13"/>
        <v>0</v>
      </c>
      <c r="AI52" s="258">
        <f t="shared" si="14"/>
        <v>0</v>
      </c>
      <c r="AJ52" s="55">
        <f>SUMIFS('tuot-INFO'!W:W,'tuot-INFO'!$A:$A,'tuot-PVÄ'!B52)</f>
        <v>84.072000000000003</v>
      </c>
      <c r="AK52" s="55">
        <f>SUMIFS('tuot-INFO'!X:X,'tuot-INFO'!$A:$A,'tuot-PVÄ'!B52)</f>
        <v>9.0400000000000063</v>
      </c>
    </row>
    <row r="53" spans="1:37" x14ac:dyDescent="0.25">
      <c r="A53" s="169">
        <f t="shared" si="8"/>
        <v>42539</v>
      </c>
      <c r="B53" s="23">
        <f>ROUNDUP((A53-Yleistiedot!$B$4)/7,0)</f>
        <v>25</v>
      </c>
      <c r="C53" s="16"/>
      <c r="D53" s="25"/>
      <c r="E53" s="25"/>
      <c r="F53" s="25"/>
      <c r="G53" s="25"/>
      <c r="H53" s="25"/>
      <c r="I53" s="65">
        <f t="shared" si="0"/>
        <v>0</v>
      </c>
      <c r="J53" s="26"/>
      <c r="K53" s="25"/>
      <c r="L53" s="16"/>
      <c r="M53" s="16"/>
      <c r="N53" s="25"/>
      <c r="O53" s="30"/>
      <c r="P53" s="252">
        <f t="shared" si="22"/>
        <v>9990</v>
      </c>
      <c r="Q53" s="253">
        <f t="shared" si="23"/>
        <v>0</v>
      </c>
      <c r="R53" s="253">
        <f t="shared" si="24"/>
        <v>0</v>
      </c>
      <c r="S53" s="251">
        <f>SUMIFS('tuot-rehukirjanpito'!D:D,'tuot-rehukirjanpito'!A:A,A53)</f>
        <v>0</v>
      </c>
      <c r="T53" s="254">
        <f t="shared" si="10"/>
        <v>1098.9000000000001</v>
      </c>
      <c r="U53" s="254">
        <f t="shared" si="21"/>
        <v>1098.8999999999999</v>
      </c>
      <c r="V53" s="252">
        <f>IF(SUMIFS('tuot-rehukirjanpito'!E:E,'tuot-rehukirjanpito'!A:A,'tuot-PVÄ'!A53)&gt;0,SUMIFS('tuot-rehukirjanpito'!E:E,'tuot-rehukirjanpito'!A:A,'tuot-PVÄ'!A53),V52+S53-T53)</f>
        <v>-56043.900000000045</v>
      </c>
      <c r="W53" s="255">
        <f t="shared" si="3"/>
        <v>-51.000000000000036</v>
      </c>
      <c r="X53" s="256" t="str">
        <f t="shared" si="19"/>
        <v/>
      </c>
      <c r="Y53" s="256" t="str">
        <f t="shared" si="20"/>
        <v/>
      </c>
      <c r="Z53" s="224" t="str">
        <f>IF(IFERROR(INDEX('tuot-rehukirjanpito'!I:I,MATCH(A53,'tuot-rehukirjanpito'!G:G,0)),"EI")="EI","",INDEX('tuot-rehukirjanpito'!I:I,MATCH(A53,'tuot-rehukirjanpito'!G:G,0)))</f>
        <v/>
      </c>
      <c r="AA53" s="224">
        <f>SUMIFS('tuot-INFO'!$K$10:$K$115,'tuot-INFO'!$A$10:$A$115,'tuot-PVÄ'!B53)</f>
        <v>56.8</v>
      </c>
      <c r="AB53" s="224">
        <f>SUMIFS('rehu-vesi-INFO'!$R:$R,'rehu-vesi-INFO'!$A:$A,'tuot-PVÄ'!B53)</f>
        <v>1562</v>
      </c>
      <c r="AC53" s="224">
        <f>SUMIFS('rehu-vesi-INFO'!$S:$S,'rehu-vesi-INFO'!$A:$A,'tuot-PVÄ'!B53)</f>
        <v>1658</v>
      </c>
      <c r="AD53" s="224">
        <f t="shared" si="4"/>
        <v>96</v>
      </c>
      <c r="AE53" s="224">
        <f t="shared" si="5"/>
        <v>0</v>
      </c>
      <c r="AF53" s="224">
        <f t="shared" si="6"/>
        <v>156.19999999999999</v>
      </c>
      <c r="AG53" s="224">
        <f t="shared" si="7"/>
        <v>9.6</v>
      </c>
      <c r="AH53" s="257">
        <f t="shared" si="13"/>
        <v>0</v>
      </c>
      <c r="AI53" s="258">
        <f t="shared" si="14"/>
        <v>0</v>
      </c>
      <c r="AJ53" s="55">
        <f>SUMIFS('tuot-INFO'!W:W,'tuot-INFO'!$A:$A,'tuot-PVÄ'!B53)</f>
        <v>86.025000000000006</v>
      </c>
      <c r="AK53" s="55">
        <f>SUMIFS('tuot-INFO'!X:X,'tuot-INFO'!$A:$A,'tuot-PVÄ'!B53)</f>
        <v>9.25</v>
      </c>
    </row>
    <row r="54" spans="1:37" x14ac:dyDescent="0.25">
      <c r="A54" s="169">
        <f t="shared" si="8"/>
        <v>42540</v>
      </c>
      <c r="B54" s="23">
        <f>ROUNDUP((A54-Yleistiedot!$B$4)/7,0)</f>
        <v>25</v>
      </c>
      <c r="C54" s="16"/>
      <c r="D54" s="25"/>
      <c r="E54" s="25"/>
      <c r="F54" s="25"/>
      <c r="G54" s="25"/>
      <c r="H54" s="25"/>
      <c r="I54" s="65">
        <f t="shared" si="0"/>
        <v>0</v>
      </c>
      <c r="J54" s="26"/>
      <c r="K54" s="25"/>
      <c r="L54" s="16"/>
      <c r="M54" s="16"/>
      <c r="N54" s="25"/>
      <c r="O54" s="30"/>
      <c r="P54" s="252">
        <f t="shared" si="22"/>
        <v>9990</v>
      </c>
      <c r="Q54" s="253">
        <f t="shared" si="23"/>
        <v>0</v>
      </c>
      <c r="R54" s="253">
        <f t="shared" si="24"/>
        <v>0</v>
      </c>
      <c r="S54" s="251">
        <f>SUMIFS('tuot-rehukirjanpito'!D:D,'tuot-rehukirjanpito'!A:A,A54)</f>
        <v>0</v>
      </c>
      <c r="T54" s="254">
        <f t="shared" si="10"/>
        <v>1098.9000000000001</v>
      </c>
      <c r="U54" s="254">
        <f t="shared" si="21"/>
        <v>1098.8999999999999</v>
      </c>
      <c r="V54" s="252">
        <f>IF(SUMIFS('tuot-rehukirjanpito'!E:E,'tuot-rehukirjanpito'!A:A,'tuot-PVÄ'!A54)&gt;0,SUMIFS('tuot-rehukirjanpito'!E:E,'tuot-rehukirjanpito'!A:A,'tuot-PVÄ'!A54),V53+S54-T54)</f>
        <v>-57142.800000000047</v>
      </c>
      <c r="W54" s="255">
        <f t="shared" si="3"/>
        <v>-52.000000000000036</v>
      </c>
      <c r="X54" s="256" t="str">
        <f t="shared" si="19"/>
        <v/>
      </c>
      <c r="Y54" s="256" t="str">
        <f t="shared" si="20"/>
        <v/>
      </c>
      <c r="Z54" s="224" t="str">
        <f>IF(IFERROR(INDEX('tuot-rehukirjanpito'!I:I,MATCH(A54,'tuot-rehukirjanpito'!G:G,0)),"EI")="EI","",INDEX('tuot-rehukirjanpito'!I:I,MATCH(A54,'tuot-rehukirjanpito'!G:G,0)))</f>
        <v/>
      </c>
      <c r="AA54" s="224">
        <f>SUMIFS('tuot-INFO'!$K$10:$K$115,'tuot-INFO'!$A$10:$A$115,'tuot-PVÄ'!B54)</f>
        <v>56.8</v>
      </c>
      <c r="AB54" s="224">
        <f>SUMIFS('rehu-vesi-INFO'!$R:$R,'rehu-vesi-INFO'!$A:$A,'tuot-PVÄ'!B54)</f>
        <v>1562</v>
      </c>
      <c r="AC54" s="224">
        <f>SUMIFS('rehu-vesi-INFO'!$S:$S,'rehu-vesi-INFO'!$A:$A,'tuot-PVÄ'!B54)</f>
        <v>1658</v>
      </c>
      <c r="AD54" s="224">
        <f t="shared" si="4"/>
        <v>96</v>
      </c>
      <c r="AE54" s="224">
        <f t="shared" si="5"/>
        <v>0</v>
      </c>
      <c r="AF54" s="224">
        <f t="shared" si="6"/>
        <v>156.19999999999999</v>
      </c>
      <c r="AG54" s="224">
        <f t="shared" si="7"/>
        <v>9.6</v>
      </c>
      <c r="AH54" s="257">
        <f t="shared" si="13"/>
        <v>0</v>
      </c>
      <c r="AI54" s="258">
        <f t="shared" si="14"/>
        <v>0</v>
      </c>
      <c r="AJ54" s="55">
        <f>SUMIFS('tuot-INFO'!W:W,'tuot-INFO'!$A:$A,'tuot-PVÄ'!B54)</f>
        <v>86.025000000000006</v>
      </c>
      <c r="AK54" s="55">
        <f>SUMIFS('tuot-INFO'!X:X,'tuot-INFO'!$A:$A,'tuot-PVÄ'!B54)</f>
        <v>9.25</v>
      </c>
    </row>
    <row r="55" spans="1:37" x14ac:dyDescent="0.25">
      <c r="A55" s="169">
        <f t="shared" si="8"/>
        <v>42541</v>
      </c>
      <c r="B55" s="23">
        <f>ROUNDUP((A55-Yleistiedot!$B$4)/7,0)</f>
        <v>25</v>
      </c>
      <c r="C55" s="16"/>
      <c r="D55" s="25"/>
      <c r="E55" s="25"/>
      <c r="F55" s="25"/>
      <c r="G55" s="25"/>
      <c r="H55" s="25"/>
      <c r="I55" s="65">
        <f t="shared" si="0"/>
        <v>0</v>
      </c>
      <c r="J55" s="26"/>
      <c r="K55" s="25"/>
      <c r="L55" s="16"/>
      <c r="M55" s="16"/>
      <c r="N55" s="25"/>
      <c r="O55" s="30"/>
      <c r="P55" s="252">
        <f t="shared" si="22"/>
        <v>9990</v>
      </c>
      <c r="Q55" s="253">
        <f t="shared" si="23"/>
        <v>0</v>
      </c>
      <c r="R55" s="253">
        <f t="shared" si="24"/>
        <v>0</v>
      </c>
      <c r="S55" s="251">
        <f>SUMIFS('tuot-rehukirjanpito'!D:D,'tuot-rehukirjanpito'!A:A,A55)</f>
        <v>0</v>
      </c>
      <c r="T55" s="254">
        <f t="shared" si="10"/>
        <v>1098.9000000000001</v>
      </c>
      <c r="U55" s="254">
        <f t="shared" si="21"/>
        <v>1098.8999999999999</v>
      </c>
      <c r="V55" s="252">
        <f>IF(SUMIFS('tuot-rehukirjanpito'!E:E,'tuot-rehukirjanpito'!A:A,'tuot-PVÄ'!A55)&gt;0,SUMIFS('tuot-rehukirjanpito'!E:E,'tuot-rehukirjanpito'!A:A,'tuot-PVÄ'!A55),V54+S55-T55)</f>
        <v>-58241.700000000048</v>
      </c>
      <c r="W55" s="255">
        <f t="shared" si="3"/>
        <v>-53.000000000000043</v>
      </c>
      <c r="X55" s="256" t="str">
        <f t="shared" si="19"/>
        <v/>
      </c>
      <c r="Y55" s="256" t="str">
        <f t="shared" si="20"/>
        <v/>
      </c>
      <c r="Z55" s="224" t="str">
        <f>IF(IFERROR(INDEX('tuot-rehukirjanpito'!I:I,MATCH(A55,'tuot-rehukirjanpito'!G:G,0)),"EI")="EI","",INDEX('tuot-rehukirjanpito'!I:I,MATCH(A55,'tuot-rehukirjanpito'!G:G,0)))</f>
        <v/>
      </c>
      <c r="AA55" s="224">
        <f>SUMIFS('tuot-INFO'!$K$10:$K$115,'tuot-INFO'!$A$10:$A$115,'tuot-PVÄ'!B55)</f>
        <v>56.8</v>
      </c>
      <c r="AB55" s="224">
        <f>SUMIFS('rehu-vesi-INFO'!$R:$R,'rehu-vesi-INFO'!$A:$A,'tuot-PVÄ'!B55)</f>
        <v>1562</v>
      </c>
      <c r="AC55" s="224">
        <f>SUMIFS('rehu-vesi-INFO'!$S:$S,'rehu-vesi-INFO'!$A:$A,'tuot-PVÄ'!B55)</f>
        <v>1658</v>
      </c>
      <c r="AD55" s="224">
        <f t="shared" si="4"/>
        <v>96</v>
      </c>
      <c r="AE55" s="224">
        <f t="shared" si="5"/>
        <v>0</v>
      </c>
      <c r="AF55" s="224">
        <f t="shared" si="6"/>
        <v>156.19999999999999</v>
      </c>
      <c r="AG55" s="224">
        <f t="shared" si="7"/>
        <v>9.6</v>
      </c>
      <c r="AH55" s="257">
        <f t="shared" si="13"/>
        <v>0</v>
      </c>
      <c r="AI55" s="258">
        <f t="shared" si="14"/>
        <v>0</v>
      </c>
      <c r="AJ55" s="55">
        <f>SUMIFS('tuot-INFO'!W:W,'tuot-INFO'!$A:$A,'tuot-PVÄ'!B55)</f>
        <v>86.025000000000006</v>
      </c>
      <c r="AK55" s="55">
        <f>SUMIFS('tuot-INFO'!X:X,'tuot-INFO'!$A:$A,'tuot-PVÄ'!B55)</f>
        <v>9.25</v>
      </c>
    </row>
    <row r="56" spans="1:37" x14ac:dyDescent="0.25">
      <c r="A56" s="169">
        <f t="shared" si="8"/>
        <v>42542</v>
      </c>
      <c r="B56" s="23">
        <f>ROUNDUP((A56-Yleistiedot!$B$4)/7,0)</f>
        <v>25</v>
      </c>
      <c r="C56" s="16"/>
      <c r="D56" s="25"/>
      <c r="E56" s="25"/>
      <c r="F56" s="25"/>
      <c r="G56" s="25"/>
      <c r="H56" s="25"/>
      <c r="I56" s="65">
        <f t="shared" si="0"/>
        <v>0</v>
      </c>
      <c r="J56" s="26"/>
      <c r="K56" s="25"/>
      <c r="L56" s="16"/>
      <c r="M56" s="16"/>
      <c r="N56" s="25"/>
      <c r="O56" s="30"/>
      <c r="P56" s="252">
        <f t="shared" ref="P56:P119" si="25">P55-C56</f>
        <v>9990</v>
      </c>
      <c r="Q56" s="253">
        <f t="shared" ref="Q56:Q119" si="26">D56/P56*100</f>
        <v>0</v>
      </c>
      <c r="R56" s="253">
        <f t="shared" ref="R56:R119" si="27">I56/P56*100</f>
        <v>0</v>
      </c>
      <c r="S56" s="251">
        <f>SUMIFS('tuot-rehukirjanpito'!D:D,'tuot-rehukirjanpito'!A:A,A56)</f>
        <v>0</v>
      </c>
      <c r="T56" s="254">
        <f t="shared" si="10"/>
        <v>1098.9000000000001</v>
      </c>
      <c r="U56" s="254">
        <f t="shared" si="21"/>
        <v>1098.8999999999999</v>
      </c>
      <c r="V56" s="252">
        <f>IF(SUMIFS('tuot-rehukirjanpito'!E:E,'tuot-rehukirjanpito'!A:A,'tuot-PVÄ'!A56)&gt;0,SUMIFS('tuot-rehukirjanpito'!E:E,'tuot-rehukirjanpito'!A:A,'tuot-PVÄ'!A56),V55+S56-T56)</f>
        <v>-59340.600000000049</v>
      </c>
      <c r="W56" s="255">
        <f t="shared" si="3"/>
        <v>-54.000000000000043</v>
      </c>
      <c r="X56" s="256" t="str">
        <f t="shared" si="19"/>
        <v/>
      </c>
      <c r="Y56" s="256" t="str">
        <f t="shared" si="20"/>
        <v/>
      </c>
      <c r="Z56" s="224" t="str">
        <f>IF(IFERROR(INDEX('tuot-rehukirjanpito'!I:I,MATCH(A56,'tuot-rehukirjanpito'!G:G,0)),"EI")="EI","",INDEX('tuot-rehukirjanpito'!I:I,MATCH(A56,'tuot-rehukirjanpito'!G:G,0)))</f>
        <v/>
      </c>
      <c r="AA56" s="224">
        <f>SUMIFS('tuot-INFO'!$K$10:$K$115,'tuot-INFO'!$A$10:$A$115,'tuot-PVÄ'!B56)</f>
        <v>56.8</v>
      </c>
      <c r="AB56" s="224">
        <f>SUMIFS('rehu-vesi-INFO'!$R:$R,'rehu-vesi-INFO'!$A:$A,'tuot-PVÄ'!B56)</f>
        <v>1562</v>
      </c>
      <c r="AC56" s="224">
        <f>SUMIFS('rehu-vesi-INFO'!$S:$S,'rehu-vesi-INFO'!$A:$A,'tuot-PVÄ'!B56)</f>
        <v>1658</v>
      </c>
      <c r="AD56" s="224">
        <f t="shared" si="4"/>
        <v>96</v>
      </c>
      <c r="AE56" s="224">
        <f t="shared" si="5"/>
        <v>0</v>
      </c>
      <c r="AF56" s="224">
        <f t="shared" si="6"/>
        <v>156.19999999999999</v>
      </c>
      <c r="AG56" s="224">
        <f t="shared" si="7"/>
        <v>9.6</v>
      </c>
      <c r="AH56" s="257">
        <f t="shared" si="13"/>
        <v>0</v>
      </c>
      <c r="AI56" s="258">
        <f t="shared" si="14"/>
        <v>0</v>
      </c>
      <c r="AJ56" s="55">
        <f>SUMIFS('tuot-INFO'!W:W,'tuot-INFO'!$A:$A,'tuot-PVÄ'!B56)</f>
        <v>86.025000000000006</v>
      </c>
      <c r="AK56" s="55">
        <f>SUMIFS('tuot-INFO'!X:X,'tuot-INFO'!$A:$A,'tuot-PVÄ'!B56)</f>
        <v>9.25</v>
      </c>
    </row>
    <row r="57" spans="1:37" x14ac:dyDescent="0.25">
      <c r="A57" s="169">
        <f t="shared" si="8"/>
        <v>42543</v>
      </c>
      <c r="B57" s="23">
        <f>ROUNDUP((A57-Yleistiedot!$B$4)/7,0)</f>
        <v>25</v>
      </c>
      <c r="C57" s="16"/>
      <c r="D57" s="25"/>
      <c r="E57" s="25"/>
      <c r="F57" s="25"/>
      <c r="G57" s="25"/>
      <c r="H57" s="25"/>
      <c r="I57" s="65">
        <f t="shared" si="0"/>
        <v>0</v>
      </c>
      <c r="J57" s="26"/>
      <c r="K57" s="25"/>
      <c r="L57" s="16"/>
      <c r="M57" s="16"/>
      <c r="N57" s="25"/>
      <c r="O57" s="176"/>
      <c r="P57" s="252">
        <f>P56-C57</f>
        <v>9990</v>
      </c>
      <c r="Q57" s="253">
        <f t="shared" si="26"/>
        <v>0</v>
      </c>
      <c r="R57" s="253">
        <f t="shared" si="27"/>
        <v>0</v>
      </c>
      <c r="S57" s="251">
        <f>SUMIFS('tuot-rehukirjanpito'!D:D,'tuot-rehukirjanpito'!A:A,A57)</f>
        <v>0</v>
      </c>
      <c r="T57" s="254">
        <f t="shared" si="10"/>
        <v>1098.9000000000001</v>
      </c>
      <c r="U57" s="254">
        <f t="shared" si="21"/>
        <v>1098.8999999999999</v>
      </c>
      <c r="V57" s="252">
        <f>IF(SUMIFS('tuot-rehukirjanpito'!E:E,'tuot-rehukirjanpito'!A:A,'tuot-PVÄ'!A57)&gt;0,SUMIFS('tuot-rehukirjanpito'!E:E,'tuot-rehukirjanpito'!A:A,'tuot-PVÄ'!A57),V56+S57-T57)</f>
        <v>-60439.500000000051</v>
      </c>
      <c r="W57" s="255">
        <f t="shared" si="3"/>
        <v>-55.000000000000043</v>
      </c>
      <c r="X57" s="256" t="str">
        <f t="shared" si="19"/>
        <v/>
      </c>
      <c r="Y57" s="256" t="str">
        <f t="shared" si="20"/>
        <v/>
      </c>
      <c r="Z57" s="224" t="str">
        <f>IF(IFERROR(INDEX('tuot-rehukirjanpito'!I:I,MATCH(A57,'tuot-rehukirjanpito'!G:G,0)),"EI")="EI","",INDEX('tuot-rehukirjanpito'!I:I,MATCH(A57,'tuot-rehukirjanpito'!G:G,0)))</f>
        <v/>
      </c>
      <c r="AA57" s="224">
        <f>SUMIFS('tuot-INFO'!$K$10:$K$115,'tuot-INFO'!$A$10:$A$115,'tuot-PVÄ'!B57)</f>
        <v>56.8</v>
      </c>
      <c r="AB57" s="224">
        <f>SUMIFS('rehu-vesi-INFO'!$R:$R,'rehu-vesi-INFO'!$A:$A,'tuot-PVÄ'!B57)</f>
        <v>1562</v>
      </c>
      <c r="AC57" s="224">
        <f>SUMIFS('rehu-vesi-INFO'!$S:$S,'rehu-vesi-INFO'!$A:$A,'tuot-PVÄ'!B57)</f>
        <v>1658</v>
      </c>
      <c r="AD57" s="224">
        <f t="shared" si="4"/>
        <v>96</v>
      </c>
      <c r="AE57" s="224">
        <f t="shared" si="5"/>
        <v>0</v>
      </c>
      <c r="AF57" s="224">
        <f t="shared" si="6"/>
        <v>156.19999999999999</v>
      </c>
      <c r="AG57" s="224">
        <f t="shared" si="7"/>
        <v>9.6</v>
      </c>
      <c r="AH57" s="257">
        <f t="shared" si="13"/>
        <v>0</v>
      </c>
      <c r="AI57" s="258">
        <f t="shared" si="14"/>
        <v>0</v>
      </c>
      <c r="AJ57" s="55">
        <f>SUMIFS('tuot-INFO'!W:W,'tuot-INFO'!$A:$A,'tuot-PVÄ'!B57)</f>
        <v>86.025000000000006</v>
      </c>
      <c r="AK57" s="55">
        <f>SUMIFS('tuot-INFO'!X:X,'tuot-INFO'!$A:$A,'tuot-PVÄ'!B57)</f>
        <v>9.25</v>
      </c>
    </row>
    <row r="58" spans="1:37" x14ac:dyDescent="0.25">
      <c r="A58" s="169">
        <f t="shared" si="8"/>
        <v>42544</v>
      </c>
      <c r="B58" s="23">
        <f>ROUNDUP((A58-Yleistiedot!$B$4)/7,0)</f>
        <v>25</v>
      </c>
      <c r="C58" s="16"/>
      <c r="D58" s="25"/>
      <c r="E58" s="25"/>
      <c r="F58" s="25"/>
      <c r="G58" s="25"/>
      <c r="H58" s="25"/>
      <c r="I58" s="65">
        <f t="shared" si="0"/>
        <v>0</v>
      </c>
      <c r="J58" s="26"/>
      <c r="K58" s="25"/>
      <c r="L58" s="16"/>
      <c r="M58" s="16"/>
      <c r="N58" s="25"/>
      <c r="O58" s="30"/>
      <c r="P58" s="252">
        <f t="shared" si="25"/>
        <v>9990</v>
      </c>
      <c r="Q58" s="253">
        <f t="shared" si="26"/>
        <v>0</v>
      </c>
      <c r="R58" s="253">
        <f t="shared" si="27"/>
        <v>0</v>
      </c>
      <c r="S58" s="251">
        <f>SUMIFS('tuot-rehukirjanpito'!D:D,'tuot-rehukirjanpito'!A:A,A58)</f>
        <v>0</v>
      </c>
      <c r="T58" s="254">
        <f t="shared" si="10"/>
        <v>1098.9000000000001</v>
      </c>
      <c r="U58" s="254">
        <f t="shared" si="21"/>
        <v>1098.8999999999999</v>
      </c>
      <c r="V58" s="252">
        <f>IF(SUMIFS('tuot-rehukirjanpito'!E:E,'tuot-rehukirjanpito'!A:A,'tuot-PVÄ'!A58)&gt;0,SUMIFS('tuot-rehukirjanpito'!E:E,'tuot-rehukirjanpito'!A:A,'tuot-PVÄ'!A58),V57+S58-T58)</f>
        <v>-61538.400000000052</v>
      </c>
      <c r="W58" s="255">
        <f t="shared" si="3"/>
        <v>-56.000000000000043</v>
      </c>
      <c r="X58" s="256" t="str">
        <f t="shared" si="19"/>
        <v/>
      </c>
      <c r="Y58" s="256" t="str">
        <f t="shared" si="20"/>
        <v/>
      </c>
      <c r="Z58" s="224" t="str">
        <f>IF(IFERROR(INDEX('tuot-rehukirjanpito'!I:I,MATCH(A58,'tuot-rehukirjanpito'!G:G,0)),"EI")="EI","",INDEX('tuot-rehukirjanpito'!I:I,MATCH(A58,'tuot-rehukirjanpito'!G:G,0)))</f>
        <v/>
      </c>
      <c r="AA58" s="224">
        <f>SUMIFS('tuot-INFO'!$K$10:$K$115,'tuot-INFO'!$A$10:$A$115,'tuot-PVÄ'!B58)</f>
        <v>56.8</v>
      </c>
      <c r="AB58" s="224">
        <f>SUMIFS('rehu-vesi-INFO'!$R:$R,'rehu-vesi-INFO'!$A:$A,'tuot-PVÄ'!B58)</f>
        <v>1562</v>
      </c>
      <c r="AC58" s="224">
        <f>SUMIFS('rehu-vesi-INFO'!$S:$S,'rehu-vesi-INFO'!$A:$A,'tuot-PVÄ'!B58)</f>
        <v>1658</v>
      </c>
      <c r="AD58" s="224">
        <f t="shared" si="4"/>
        <v>96</v>
      </c>
      <c r="AE58" s="224">
        <f t="shared" si="5"/>
        <v>0</v>
      </c>
      <c r="AF58" s="224">
        <f t="shared" si="6"/>
        <v>156.19999999999999</v>
      </c>
      <c r="AG58" s="224">
        <f t="shared" si="7"/>
        <v>9.6</v>
      </c>
      <c r="AH58" s="257">
        <f t="shared" si="13"/>
        <v>0</v>
      </c>
      <c r="AI58" s="258">
        <f t="shared" si="14"/>
        <v>0</v>
      </c>
      <c r="AJ58" s="55">
        <f>SUMIFS('tuot-INFO'!W:W,'tuot-INFO'!$A:$A,'tuot-PVÄ'!B58)</f>
        <v>86.025000000000006</v>
      </c>
      <c r="AK58" s="55">
        <f>SUMIFS('tuot-INFO'!X:X,'tuot-INFO'!$A:$A,'tuot-PVÄ'!B58)</f>
        <v>9.25</v>
      </c>
    </row>
    <row r="59" spans="1:37" x14ac:dyDescent="0.25">
      <c r="A59" s="169">
        <f t="shared" si="8"/>
        <v>42545</v>
      </c>
      <c r="B59" s="23">
        <f>ROUNDUP((A59-Yleistiedot!$B$4)/7,0)</f>
        <v>25</v>
      </c>
      <c r="C59" s="16"/>
      <c r="D59" s="25"/>
      <c r="E59" s="25"/>
      <c r="F59" s="25"/>
      <c r="G59" s="25"/>
      <c r="H59" s="25"/>
      <c r="I59" s="65">
        <f>SUM(E59:H59)</f>
        <v>0</v>
      </c>
      <c r="J59" s="26"/>
      <c r="K59" s="25"/>
      <c r="L59" s="16"/>
      <c r="M59" s="16"/>
      <c r="N59" s="25"/>
      <c r="O59" s="30"/>
      <c r="P59" s="252">
        <f t="shared" si="25"/>
        <v>9990</v>
      </c>
      <c r="Q59" s="253">
        <f t="shared" si="26"/>
        <v>0</v>
      </c>
      <c r="R59" s="253">
        <f t="shared" si="27"/>
        <v>0</v>
      </c>
      <c r="S59" s="251">
        <f>SUMIFS('tuot-rehukirjanpito'!D:D,'tuot-rehukirjanpito'!A:A,A59)</f>
        <v>0</v>
      </c>
      <c r="T59" s="254">
        <f t="shared" si="10"/>
        <v>1098.9000000000001</v>
      </c>
      <c r="U59" s="254">
        <f t="shared" si="21"/>
        <v>1098.8999999999999</v>
      </c>
      <c r="V59" s="252">
        <f>IF(SUMIFS('tuot-rehukirjanpito'!E:E,'tuot-rehukirjanpito'!A:A,'tuot-PVÄ'!A59)&gt;0,SUMIFS('tuot-rehukirjanpito'!E:E,'tuot-rehukirjanpito'!A:A,'tuot-PVÄ'!A59),V58+S59-T59)</f>
        <v>-62637.300000000054</v>
      </c>
      <c r="W59" s="255">
        <f t="shared" si="3"/>
        <v>-57.000000000000043</v>
      </c>
      <c r="X59" s="256" t="str">
        <f t="shared" si="19"/>
        <v/>
      </c>
      <c r="Y59" s="256" t="str">
        <f t="shared" si="20"/>
        <v/>
      </c>
      <c r="Z59" s="224" t="str">
        <f>IF(IFERROR(INDEX('tuot-rehukirjanpito'!I:I,MATCH(A59,'tuot-rehukirjanpito'!G:G,0)),"EI")="EI","",INDEX('tuot-rehukirjanpito'!I:I,MATCH(A59,'tuot-rehukirjanpito'!G:G,0)))</f>
        <v/>
      </c>
      <c r="AA59" s="224">
        <f>SUMIFS('tuot-INFO'!$K$10:$K$115,'tuot-INFO'!$A$10:$A$115,'tuot-PVÄ'!B59)</f>
        <v>56.8</v>
      </c>
      <c r="AB59" s="224">
        <f>SUMIFS('rehu-vesi-INFO'!$R:$R,'rehu-vesi-INFO'!$A:$A,'tuot-PVÄ'!B59)</f>
        <v>1562</v>
      </c>
      <c r="AC59" s="224">
        <f>SUMIFS('rehu-vesi-INFO'!$S:$S,'rehu-vesi-INFO'!$A:$A,'tuot-PVÄ'!B59)</f>
        <v>1658</v>
      </c>
      <c r="AD59" s="224">
        <f t="shared" si="4"/>
        <v>96</v>
      </c>
      <c r="AE59" s="224">
        <f t="shared" si="5"/>
        <v>0</v>
      </c>
      <c r="AF59" s="224">
        <f t="shared" si="6"/>
        <v>156.19999999999999</v>
      </c>
      <c r="AG59" s="224">
        <f t="shared" si="7"/>
        <v>9.6</v>
      </c>
      <c r="AH59" s="257">
        <f t="shared" si="13"/>
        <v>0</v>
      </c>
      <c r="AI59" s="258">
        <f t="shared" si="14"/>
        <v>0</v>
      </c>
      <c r="AJ59" s="55">
        <f>SUMIFS('tuot-INFO'!W:W,'tuot-INFO'!$A:$A,'tuot-PVÄ'!B59)</f>
        <v>86.025000000000006</v>
      </c>
      <c r="AK59" s="55">
        <f>SUMIFS('tuot-INFO'!X:X,'tuot-INFO'!$A:$A,'tuot-PVÄ'!B59)</f>
        <v>9.25</v>
      </c>
    </row>
    <row r="60" spans="1:37" x14ac:dyDescent="0.25">
      <c r="A60" s="169">
        <f t="shared" si="8"/>
        <v>42546</v>
      </c>
      <c r="B60" s="23">
        <f>ROUNDUP((A60-Yleistiedot!$B$4)/7,0)</f>
        <v>26</v>
      </c>
      <c r="C60" s="16"/>
      <c r="D60" s="25"/>
      <c r="E60" s="25"/>
      <c r="F60" s="25"/>
      <c r="G60" s="25"/>
      <c r="H60" s="25"/>
      <c r="I60" s="65">
        <f t="shared" si="0"/>
        <v>0</v>
      </c>
      <c r="J60" s="26"/>
      <c r="K60" s="25"/>
      <c r="L60" s="16"/>
      <c r="M60" s="16"/>
      <c r="N60" s="25"/>
      <c r="O60" s="30"/>
      <c r="P60" s="252">
        <f t="shared" si="25"/>
        <v>9990</v>
      </c>
      <c r="Q60" s="253">
        <f t="shared" si="26"/>
        <v>0</v>
      </c>
      <c r="R60" s="253">
        <f t="shared" si="27"/>
        <v>0</v>
      </c>
      <c r="S60" s="251">
        <f>SUMIFS('tuot-rehukirjanpito'!D:D,'tuot-rehukirjanpito'!A:A,A60)</f>
        <v>0</v>
      </c>
      <c r="T60" s="254">
        <f t="shared" si="10"/>
        <v>1098.9000000000001</v>
      </c>
      <c r="U60" s="254">
        <f t="shared" si="21"/>
        <v>1098.8999999999999</v>
      </c>
      <c r="V60" s="252">
        <f>IF(SUMIFS('tuot-rehukirjanpito'!E:E,'tuot-rehukirjanpito'!A:A,'tuot-PVÄ'!A60)&gt;0,SUMIFS('tuot-rehukirjanpito'!E:E,'tuot-rehukirjanpito'!A:A,'tuot-PVÄ'!A60),V59+S60-T60)</f>
        <v>-63736.200000000055</v>
      </c>
      <c r="W60" s="255">
        <f>IFERROR(V60/U60,"")</f>
        <v>-58.000000000000057</v>
      </c>
      <c r="X60" s="256" t="str">
        <f t="shared" si="19"/>
        <v/>
      </c>
      <c r="Y60" s="256" t="str">
        <f t="shared" si="20"/>
        <v/>
      </c>
      <c r="Z60" s="224" t="str">
        <f>IF(IFERROR(INDEX('tuot-rehukirjanpito'!I:I,MATCH(A60,'tuot-rehukirjanpito'!G:G,0)),"EI")="EI","",INDEX('tuot-rehukirjanpito'!I:I,MATCH(A60,'tuot-rehukirjanpito'!G:G,0)))</f>
        <v/>
      </c>
      <c r="AA60" s="224">
        <f>SUMIFS('tuot-INFO'!$K$10:$K$115,'tuot-INFO'!$A$10:$A$115,'tuot-PVÄ'!B60)</f>
        <v>57.6</v>
      </c>
      <c r="AB60" s="224">
        <f>SUMIFS('rehu-vesi-INFO'!$R:$R,'rehu-vesi-INFO'!$A:$A,'tuot-PVÄ'!B60)</f>
        <v>1584</v>
      </c>
      <c r="AC60" s="224">
        <f>SUMIFS('rehu-vesi-INFO'!$S:$S,'rehu-vesi-INFO'!$A:$A,'tuot-PVÄ'!B60)</f>
        <v>1679</v>
      </c>
      <c r="AD60" s="224">
        <f t="shared" si="4"/>
        <v>95</v>
      </c>
      <c r="AE60" s="224">
        <f t="shared" si="5"/>
        <v>0</v>
      </c>
      <c r="AF60" s="224">
        <f t="shared" si="6"/>
        <v>158.4</v>
      </c>
      <c r="AG60" s="224">
        <f t="shared" si="7"/>
        <v>9.5</v>
      </c>
      <c r="AH60" s="257">
        <f t="shared" si="13"/>
        <v>0</v>
      </c>
      <c r="AI60" s="258">
        <f t="shared" si="14"/>
        <v>0</v>
      </c>
      <c r="AJ60" s="55">
        <f>SUMIFS('tuot-INFO'!W:W,'tuot-INFO'!$A:$A,'tuot-PVÄ'!B60)</f>
        <v>87.047999999999988</v>
      </c>
      <c r="AK60" s="55">
        <f>SUMIFS('tuot-INFO'!X:X,'tuot-INFO'!$A:$A,'tuot-PVÄ'!B60)</f>
        <v>9.36</v>
      </c>
    </row>
    <row r="61" spans="1:37" x14ac:dyDescent="0.25">
      <c r="A61" s="169">
        <f t="shared" si="8"/>
        <v>42547</v>
      </c>
      <c r="B61" s="23">
        <f>ROUNDUP((A61-Yleistiedot!$B$4)/7,0)</f>
        <v>26</v>
      </c>
      <c r="C61" s="16"/>
      <c r="D61" s="25"/>
      <c r="E61" s="25"/>
      <c r="F61" s="25"/>
      <c r="G61" s="25"/>
      <c r="H61" s="25"/>
      <c r="I61" s="65">
        <f t="shared" si="0"/>
        <v>0</v>
      </c>
      <c r="J61" s="26"/>
      <c r="K61" s="25"/>
      <c r="L61" s="16"/>
      <c r="M61" s="16"/>
      <c r="N61" s="25"/>
      <c r="O61" s="30"/>
      <c r="P61" s="252">
        <f t="shared" si="25"/>
        <v>9990</v>
      </c>
      <c r="Q61" s="253">
        <f t="shared" si="26"/>
        <v>0</v>
      </c>
      <c r="R61" s="253">
        <f t="shared" si="27"/>
        <v>0</v>
      </c>
      <c r="S61" s="251">
        <f>SUMIFS('tuot-rehukirjanpito'!D:D,'tuot-rehukirjanpito'!A:A,A61)</f>
        <v>0</v>
      </c>
      <c r="T61" s="254">
        <f t="shared" si="10"/>
        <v>1098.9000000000001</v>
      </c>
      <c r="U61" s="254">
        <f t="shared" si="21"/>
        <v>1098.8999999999999</v>
      </c>
      <c r="V61" s="252">
        <f>IF(SUMIFS('tuot-rehukirjanpito'!E:E,'tuot-rehukirjanpito'!A:A,'tuot-PVÄ'!A61)&gt;0,SUMIFS('tuot-rehukirjanpito'!E:E,'tuot-rehukirjanpito'!A:A,'tuot-PVÄ'!A61),V60+S61-T61)</f>
        <v>-64835.100000000057</v>
      </c>
      <c r="W61" s="255">
        <f t="shared" ref="W61:W124" si="28">IFERROR(V61/U61,"")</f>
        <v>-59.000000000000057</v>
      </c>
      <c r="X61" s="256" t="str">
        <f t="shared" si="19"/>
        <v/>
      </c>
      <c r="Y61" s="256" t="str">
        <f t="shared" si="20"/>
        <v/>
      </c>
      <c r="Z61" s="224" t="str">
        <f>IF(IFERROR(INDEX('tuot-rehukirjanpito'!I:I,MATCH(A61,'tuot-rehukirjanpito'!G:G,0)),"EI")="EI","",INDEX('tuot-rehukirjanpito'!I:I,MATCH(A61,'tuot-rehukirjanpito'!G:G,0)))</f>
        <v/>
      </c>
      <c r="AA61" s="224">
        <f>SUMIFS('tuot-INFO'!$K$10:$K$115,'tuot-INFO'!$A$10:$A$115,'tuot-PVÄ'!B61)</f>
        <v>57.6</v>
      </c>
      <c r="AB61" s="224">
        <f>SUMIFS('rehu-vesi-INFO'!$R:$R,'rehu-vesi-INFO'!$A:$A,'tuot-PVÄ'!B61)</f>
        <v>1584</v>
      </c>
      <c r="AC61" s="224">
        <f>SUMIFS('rehu-vesi-INFO'!$S:$S,'rehu-vesi-INFO'!$A:$A,'tuot-PVÄ'!B61)</f>
        <v>1679</v>
      </c>
      <c r="AD61" s="224">
        <f t="shared" si="4"/>
        <v>95</v>
      </c>
      <c r="AE61" s="224">
        <f t="shared" si="5"/>
        <v>0</v>
      </c>
      <c r="AF61" s="224">
        <f t="shared" si="6"/>
        <v>158.4</v>
      </c>
      <c r="AG61" s="224">
        <f t="shared" si="7"/>
        <v>9.5</v>
      </c>
      <c r="AH61" s="257">
        <f t="shared" si="13"/>
        <v>0</v>
      </c>
      <c r="AI61" s="258">
        <f t="shared" si="14"/>
        <v>0</v>
      </c>
      <c r="AJ61" s="55">
        <f>SUMIFS('tuot-INFO'!W:W,'tuot-INFO'!$A:$A,'tuot-PVÄ'!B61)</f>
        <v>87.047999999999988</v>
      </c>
      <c r="AK61" s="55">
        <f>SUMIFS('tuot-INFO'!X:X,'tuot-INFO'!$A:$A,'tuot-PVÄ'!B61)</f>
        <v>9.36</v>
      </c>
    </row>
    <row r="62" spans="1:37" x14ac:dyDescent="0.25">
      <c r="A62" s="169">
        <f t="shared" si="8"/>
        <v>42548</v>
      </c>
      <c r="B62" s="23">
        <f>ROUNDUP((A62-Yleistiedot!$B$4)/7,0)</f>
        <v>26</v>
      </c>
      <c r="C62" s="16"/>
      <c r="D62" s="25"/>
      <c r="E62" s="25"/>
      <c r="F62" s="25"/>
      <c r="G62" s="25"/>
      <c r="H62" s="25"/>
      <c r="I62" s="65">
        <f t="shared" si="0"/>
        <v>0</v>
      </c>
      <c r="J62" s="26"/>
      <c r="K62" s="25"/>
      <c r="L62" s="16"/>
      <c r="M62" s="16"/>
      <c r="N62" s="25"/>
      <c r="O62" s="30"/>
      <c r="P62" s="252">
        <f t="shared" si="25"/>
        <v>9990</v>
      </c>
      <c r="Q62" s="253">
        <f t="shared" si="26"/>
        <v>0</v>
      </c>
      <c r="R62" s="253">
        <f t="shared" si="27"/>
        <v>0</v>
      </c>
      <c r="S62" s="251">
        <f>SUMIFS('tuot-rehukirjanpito'!D:D,'tuot-rehukirjanpito'!A:A,A62)</f>
        <v>0</v>
      </c>
      <c r="T62" s="254">
        <f t="shared" si="10"/>
        <v>1098.9000000000001</v>
      </c>
      <c r="U62" s="254">
        <f t="shared" si="21"/>
        <v>1098.8999999999999</v>
      </c>
      <c r="V62" s="252">
        <f>IF(SUMIFS('tuot-rehukirjanpito'!E:E,'tuot-rehukirjanpito'!A:A,'tuot-PVÄ'!A62)&gt;0,SUMIFS('tuot-rehukirjanpito'!E:E,'tuot-rehukirjanpito'!A:A,'tuot-PVÄ'!A62),V61+S62-T62)</f>
        <v>-65934.000000000058</v>
      </c>
      <c r="W62" s="255">
        <f t="shared" si="28"/>
        <v>-60.000000000000064</v>
      </c>
      <c r="X62" s="256" t="str">
        <f t="shared" si="19"/>
        <v/>
      </c>
      <c r="Y62" s="256" t="str">
        <f t="shared" si="20"/>
        <v/>
      </c>
      <c r="Z62" s="224" t="str">
        <f>IF(IFERROR(INDEX('tuot-rehukirjanpito'!I:I,MATCH(A62,'tuot-rehukirjanpito'!G:G,0)),"EI")="EI","",INDEX('tuot-rehukirjanpito'!I:I,MATCH(A62,'tuot-rehukirjanpito'!G:G,0)))</f>
        <v/>
      </c>
      <c r="AA62" s="224">
        <f>SUMIFS('tuot-INFO'!$K$10:$K$115,'tuot-INFO'!$A$10:$A$115,'tuot-PVÄ'!B62)</f>
        <v>57.6</v>
      </c>
      <c r="AB62" s="224">
        <f>SUMIFS('rehu-vesi-INFO'!$R:$R,'rehu-vesi-INFO'!$A:$A,'tuot-PVÄ'!B62)</f>
        <v>1584</v>
      </c>
      <c r="AC62" s="224">
        <f>SUMIFS('rehu-vesi-INFO'!$S:$S,'rehu-vesi-INFO'!$A:$A,'tuot-PVÄ'!B62)</f>
        <v>1679</v>
      </c>
      <c r="AD62" s="224">
        <f t="shared" si="4"/>
        <v>95</v>
      </c>
      <c r="AE62" s="224">
        <f t="shared" si="5"/>
        <v>0</v>
      </c>
      <c r="AF62" s="224">
        <f t="shared" si="6"/>
        <v>158.4</v>
      </c>
      <c r="AG62" s="224">
        <f t="shared" si="7"/>
        <v>9.5</v>
      </c>
      <c r="AH62" s="257">
        <f t="shared" si="13"/>
        <v>0</v>
      </c>
      <c r="AI62" s="258">
        <f t="shared" si="14"/>
        <v>0</v>
      </c>
      <c r="AJ62" s="55">
        <f>SUMIFS('tuot-INFO'!W:W,'tuot-INFO'!$A:$A,'tuot-PVÄ'!B62)</f>
        <v>87.047999999999988</v>
      </c>
      <c r="AK62" s="55">
        <f>SUMIFS('tuot-INFO'!X:X,'tuot-INFO'!$A:$A,'tuot-PVÄ'!B62)</f>
        <v>9.36</v>
      </c>
    </row>
    <row r="63" spans="1:37" x14ac:dyDescent="0.25">
      <c r="A63" s="169">
        <f t="shared" si="8"/>
        <v>42549</v>
      </c>
      <c r="B63" s="23">
        <f>ROUNDUP((A63-Yleistiedot!$B$4)/7,0)</f>
        <v>26</v>
      </c>
      <c r="C63" s="16"/>
      <c r="D63" s="25"/>
      <c r="E63" s="25"/>
      <c r="F63" s="25"/>
      <c r="G63" s="25"/>
      <c r="H63" s="25"/>
      <c r="I63" s="65">
        <f t="shared" si="0"/>
        <v>0</v>
      </c>
      <c r="J63" s="26"/>
      <c r="K63" s="25"/>
      <c r="L63" s="16"/>
      <c r="M63" s="16"/>
      <c r="N63" s="25"/>
      <c r="O63" s="30"/>
      <c r="P63" s="252">
        <f t="shared" si="25"/>
        <v>9990</v>
      </c>
      <c r="Q63" s="253">
        <f t="shared" si="26"/>
        <v>0</v>
      </c>
      <c r="R63" s="253">
        <f t="shared" si="27"/>
        <v>0</v>
      </c>
      <c r="S63" s="251">
        <f>SUMIFS('tuot-rehukirjanpito'!D:D,'tuot-rehukirjanpito'!A:A,A63)</f>
        <v>0</v>
      </c>
      <c r="T63" s="254">
        <f t="shared" si="10"/>
        <v>1098.9000000000001</v>
      </c>
      <c r="U63" s="254">
        <f t="shared" si="21"/>
        <v>1098.8999999999999</v>
      </c>
      <c r="V63" s="252">
        <f>IF(SUMIFS('tuot-rehukirjanpito'!E:E,'tuot-rehukirjanpito'!A:A,'tuot-PVÄ'!A63)&gt;0,SUMIFS('tuot-rehukirjanpito'!E:E,'tuot-rehukirjanpito'!A:A,'tuot-PVÄ'!A63),V62+S63-T63)</f>
        <v>-67032.900000000052</v>
      </c>
      <c r="W63" s="255">
        <f t="shared" si="28"/>
        <v>-61.000000000000057</v>
      </c>
      <c r="X63" s="256" t="str">
        <f t="shared" si="19"/>
        <v/>
      </c>
      <c r="Y63" s="256" t="str">
        <f t="shared" si="20"/>
        <v/>
      </c>
      <c r="Z63" s="224" t="str">
        <f>IF(IFERROR(INDEX('tuot-rehukirjanpito'!I:I,MATCH(A63,'tuot-rehukirjanpito'!G:G,0)),"EI")="EI","",INDEX('tuot-rehukirjanpito'!I:I,MATCH(A63,'tuot-rehukirjanpito'!G:G,0)))</f>
        <v/>
      </c>
      <c r="AA63" s="224">
        <f>SUMIFS('tuot-INFO'!$K$10:$K$115,'tuot-INFO'!$A$10:$A$115,'tuot-PVÄ'!B63)</f>
        <v>57.6</v>
      </c>
      <c r="AB63" s="224">
        <f>SUMIFS('rehu-vesi-INFO'!$R:$R,'rehu-vesi-INFO'!$A:$A,'tuot-PVÄ'!B63)</f>
        <v>1584</v>
      </c>
      <c r="AC63" s="224">
        <f>SUMIFS('rehu-vesi-INFO'!$S:$S,'rehu-vesi-INFO'!$A:$A,'tuot-PVÄ'!B63)</f>
        <v>1679</v>
      </c>
      <c r="AD63" s="224">
        <f t="shared" si="4"/>
        <v>95</v>
      </c>
      <c r="AE63" s="224">
        <f t="shared" si="5"/>
        <v>0</v>
      </c>
      <c r="AF63" s="224">
        <f t="shared" si="6"/>
        <v>158.4</v>
      </c>
      <c r="AG63" s="224">
        <f t="shared" si="7"/>
        <v>9.5</v>
      </c>
      <c r="AH63" s="257">
        <f t="shared" si="13"/>
        <v>0</v>
      </c>
      <c r="AI63" s="258">
        <f t="shared" si="14"/>
        <v>0</v>
      </c>
      <c r="AJ63" s="55">
        <f>SUMIFS('tuot-INFO'!W:W,'tuot-INFO'!$A:$A,'tuot-PVÄ'!B63)</f>
        <v>87.047999999999988</v>
      </c>
      <c r="AK63" s="55">
        <f>SUMIFS('tuot-INFO'!X:X,'tuot-INFO'!$A:$A,'tuot-PVÄ'!B63)</f>
        <v>9.36</v>
      </c>
    </row>
    <row r="64" spans="1:37" x14ac:dyDescent="0.25">
      <c r="A64" s="169">
        <f t="shared" si="8"/>
        <v>42550</v>
      </c>
      <c r="B64" s="23">
        <f>ROUNDUP((A64-Yleistiedot!$B$4)/7,0)</f>
        <v>26</v>
      </c>
      <c r="C64" s="16"/>
      <c r="D64" s="25"/>
      <c r="E64" s="25"/>
      <c r="F64" s="25"/>
      <c r="G64" s="25"/>
      <c r="H64" s="25"/>
      <c r="I64" s="65">
        <f t="shared" si="0"/>
        <v>0</v>
      </c>
      <c r="J64" s="26"/>
      <c r="K64" s="25"/>
      <c r="L64" s="16"/>
      <c r="M64" s="16"/>
      <c r="N64" s="25"/>
      <c r="O64" s="30"/>
      <c r="P64" s="252">
        <f t="shared" si="25"/>
        <v>9990</v>
      </c>
      <c r="Q64" s="253">
        <f t="shared" si="26"/>
        <v>0</v>
      </c>
      <c r="R64" s="253">
        <f t="shared" si="27"/>
        <v>0</v>
      </c>
      <c r="S64" s="251">
        <f>SUMIFS('tuot-rehukirjanpito'!D:D,'tuot-rehukirjanpito'!A:A,A64)</f>
        <v>0</v>
      </c>
      <c r="T64" s="254">
        <f t="shared" si="10"/>
        <v>1098.9000000000001</v>
      </c>
      <c r="U64" s="254">
        <f t="shared" si="21"/>
        <v>1098.8999999999999</v>
      </c>
      <c r="V64" s="252">
        <f>IF(SUMIFS('tuot-rehukirjanpito'!E:E,'tuot-rehukirjanpito'!A:A,'tuot-PVÄ'!A64)&gt;0,SUMIFS('tuot-rehukirjanpito'!E:E,'tuot-rehukirjanpito'!A:A,'tuot-PVÄ'!A64),V63+S64-T64)</f>
        <v>-68131.800000000047</v>
      </c>
      <c r="W64" s="255">
        <f t="shared" si="28"/>
        <v>-62.00000000000005</v>
      </c>
      <c r="X64" s="256" t="str">
        <f t="shared" si="19"/>
        <v/>
      </c>
      <c r="Y64" s="256" t="str">
        <f t="shared" si="20"/>
        <v/>
      </c>
      <c r="Z64" s="224" t="str">
        <f>IF(IFERROR(INDEX('tuot-rehukirjanpito'!I:I,MATCH(A64,'tuot-rehukirjanpito'!G:G,0)),"EI")="EI","",INDEX('tuot-rehukirjanpito'!I:I,MATCH(A64,'tuot-rehukirjanpito'!G:G,0)))</f>
        <v/>
      </c>
      <c r="AA64" s="224">
        <f>SUMIFS('tuot-INFO'!$K$10:$K$115,'tuot-INFO'!$A$10:$A$115,'tuot-PVÄ'!B64)</f>
        <v>57.6</v>
      </c>
      <c r="AB64" s="224">
        <f>SUMIFS('rehu-vesi-INFO'!$R:$R,'rehu-vesi-INFO'!$A:$A,'tuot-PVÄ'!B64)</f>
        <v>1584</v>
      </c>
      <c r="AC64" s="224">
        <f>SUMIFS('rehu-vesi-INFO'!$S:$S,'rehu-vesi-INFO'!$A:$A,'tuot-PVÄ'!B64)</f>
        <v>1679</v>
      </c>
      <c r="AD64" s="224">
        <f t="shared" si="4"/>
        <v>95</v>
      </c>
      <c r="AE64" s="224">
        <f t="shared" si="5"/>
        <v>0</v>
      </c>
      <c r="AF64" s="224">
        <f t="shared" si="6"/>
        <v>158.4</v>
      </c>
      <c r="AG64" s="224">
        <f t="shared" si="7"/>
        <v>9.5</v>
      </c>
      <c r="AH64" s="257">
        <f t="shared" si="13"/>
        <v>0</v>
      </c>
      <c r="AI64" s="258">
        <f t="shared" si="14"/>
        <v>0</v>
      </c>
      <c r="AJ64" s="55">
        <f>SUMIFS('tuot-INFO'!W:W,'tuot-INFO'!$A:$A,'tuot-PVÄ'!B64)</f>
        <v>87.047999999999988</v>
      </c>
      <c r="AK64" s="55">
        <f>SUMIFS('tuot-INFO'!X:X,'tuot-INFO'!$A:$A,'tuot-PVÄ'!B64)</f>
        <v>9.36</v>
      </c>
    </row>
    <row r="65" spans="1:37" x14ac:dyDescent="0.25">
      <c r="A65" s="169">
        <f t="shared" si="8"/>
        <v>42551</v>
      </c>
      <c r="B65" s="23">
        <f>ROUNDUP((A65-Yleistiedot!$B$4)/7,0)</f>
        <v>26</v>
      </c>
      <c r="C65" s="16"/>
      <c r="D65" s="25"/>
      <c r="E65" s="25"/>
      <c r="F65" s="25"/>
      <c r="G65" s="25"/>
      <c r="H65" s="25"/>
      <c r="I65" s="65">
        <f t="shared" si="0"/>
        <v>0</v>
      </c>
      <c r="J65" s="26"/>
      <c r="K65" s="25"/>
      <c r="L65" s="16"/>
      <c r="M65" s="16"/>
      <c r="N65" s="25"/>
      <c r="O65" s="30"/>
      <c r="P65" s="252">
        <f t="shared" si="25"/>
        <v>9990</v>
      </c>
      <c r="Q65" s="253">
        <f t="shared" si="26"/>
        <v>0</v>
      </c>
      <c r="R65" s="253">
        <f t="shared" si="27"/>
        <v>0</v>
      </c>
      <c r="S65" s="251">
        <f>SUMIFS('tuot-rehukirjanpito'!D:D,'tuot-rehukirjanpito'!A:A,A65)</f>
        <v>0</v>
      </c>
      <c r="T65" s="254">
        <f t="shared" si="10"/>
        <v>1098.9000000000001</v>
      </c>
      <c r="U65" s="254">
        <f t="shared" si="21"/>
        <v>1098.8999999999999</v>
      </c>
      <c r="V65" s="252">
        <f>IF(SUMIFS('tuot-rehukirjanpito'!E:E,'tuot-rehukirjanpito'!A:A,'tuot-PVÄ'!A65)&gt;0,SUMIFS('tuot-rehukirjanpito'!E:E,'tuot-rehukirjanpito'!A:A,'tuot-PVÄ'!A65),V64+S65-T65)</f>
        <v>-69230.700000000041</v>
      </c>
      <c r="W65" s="255">
        <f t="shared" si="28"/>
        <v>-63.000000000000043</v>
      </c>
      <c r="X65" s="256" t="str">
        <f t="shared" si="19"/>
        <v/>
      </c>
      <c r="Y65" s="256" t="str">
        <f t="shared" si="20"/>
        <v/>
      </c>
      <c r="Z65" s="224" t="str">
        <f>IF(IFERROR(INDEX('tuot-rehukirjanpito'!I:I,MATCH(A65,'tuot-rehukirjanpito'!G:G,0)),"EI")="EI","",INDEX('tuot-rehukirjanpito'!I:I,MATCH(A65,'tuot-rehukirjanpito'!G:G,0)))</f>
        <v/>
      </c>
      <c r="AA65" s="224">
        <f>SUMIFS('tuot-INFO'!$K$10:$K$115,'tuot-INFO'!$A$10:$A$115,'tuot-PVÄ'!B65)</f>
        <v>57.6</v>
      </c>
      <c r="AB65" s="224">
        <f>SUMIFS('rehu-vesi-INFO'!$R:$R,'rehu-vesi-INFO'!$A:$A,'tuot-PVÄ'!B65)</f>
        <v>1584</v>
      </c>
      <c r="AC65" s="224">
        <f>SUMIFS('rehu-vesi-INFO'!$S:$S,'rehu-vesi-INFO'!$A:$A,'tuot-PVÄ'!B65)</f>
        <v>1679</v>
      </c>
      <c r="AD65" s="224">
        <f t="shared" si="4"/>
        <v>95</v>
      </c>
      <c r="AE65" s="224">
        <f t="shared" si="5"/>
        <v>0</v>
      </c>
      <c r="AF65" s="224">
        <f t="shared" si="6"/>
        <v>158.4</v>
      </c>
      <c r="AG65" s="224">
        <f t="shared" si="7"/>
        <v>9.5</v>
      </c>
      <c r="AH65" s="257">
        <f t="shared" si="13"/>
        <v>0</v>
      </c>
      <c r="AI65" s="258">
        <f t="shared" si="14"/>
        <v>0</v>
      </c>
      <c r="AJ65" s="55">
        <f>SUMIFS('tuot-INFO'!W:W,'tuot-INFO'!$A:$A,'tuot-PVÄ'!B65)</f>
        <v>87.047999999999988</v>
      </c>
      <c r="AK65" s="55">
        <f>SUMIFS('tuot-INFO'!X:X,'tuot-INFO'!$A:$A,'tuot-PVÄ'!B65)</f>
        <v>9.36</v>
      </c>
    </row>
    <row r="66" spans="1:37" x14ac:dyDescent="0.25">
      <c r="A66" s="169">
        <f t="shared" si="8"/>
        <v>42552</v>
      </c>
      <c r="B66" s="23">
        <f>ROUNDUP((A66-Yleistiedot!$B$4)/7,0)</f>
        <v>26</v>
      </c>
      <c r="C66" s="16"/>
      <c r="D66" s="25"/>
      <c r="E66" s="25"/>
      <c r="F66" s="25"/>
      <c r="G66" s="25"/>
      <c r="H66" s="25"/>
      <c r="I66" s="65">
        <f t="shared" si="0"/>
        <v>0</v>
      </c>
      <c r="J66" s="26"/>
      <c r="K66" s="25"/>
      <c r="L66" s="16"/>
      <c r="M66" s="16"/>
      <c r="N66" s="25"/>
      <c r="O66" s="176"/>
      <c r="P66" s="252">
        <f t="shared" si="25"/>
        <v>9990</v>
      </c>
      <c r="Q66" s="253">
        <f t="shared" si="26"/>
        <v>0</v>
      </c>
      <c r="R66" s="253">
        <f t="shared" si="27"/>
        <v>0</v>
      </c>
      <c r="S66" s="251">
        <f>SUMIFS('tuot-rehukirjanpito'!D:D,'tuot-rehukirjanpito'!A:A,A66)</f>
        <v>0</v>
      </c>
      <c r="T66" s="254">
        <f t="shared" si="10"/>
        <v>1098.9000000000001</v>
      </c>
      <c r="U66" s="254">
        <f t="shared" si="21"/>
        <v>1098.8999999999999</v>
      </c>
      <c r="V66" s="252">
        <f>IF(SUMIFS('tuot-rehukirjanpito'!E:E,'tuot-rehukirjanpito'!A:A,'tuot-PVÄ'!A66)&gt;0,SUMIFS('tuot-rehukirjanpito'!E:E,'tuot-rehukirjanpito'!A:A,'tuot-PVÄ'!A66),V65+S66-T66)</f>
        <v>-70329.600000000035</v>
      </c>
      <c r="W66" s="255">
        <f t="shared" si="28"/>
        <v>-64.000000000000043</v>
      </c>
      <c r="X66" s="256" t="str">
        <f t="shared" si="19"/>
        <v/>
      </c>
      <c r="Y66" s="256" t="str">
        <f t="shared" si="20"/>
        <v/>
      </c>
      <c r="Z66" s="224" t="str">
        <f>IF(IFERROR(INDEX('tuot-rehukirjanpito'!I:I,MATCH(A66,'tuot-rehukirjanpito'!G:G,0)),"EI")="EI","",INDEX('tuot-rehukirjanpito'!I:I,MATCH(A66,'tuot-rehukirjanpito'!G:G,0)))</f>
        <v/>
      </c>
      <c r="AA66" s="224">
        <f>SUMIFS('tuot-INFO'!$K$10:$K$115,'tuot-INFO'!$A$10:$A$115,'tuot-PVÄ'!B66)</f>
        <v>57.6</v>
      </c>
      <c r="AB66" s="224">
        <f>SUMIFS('rehu-vesi-INFO'!$R:$R,'rehu-vesi-INFO'!$A:$A,'tuot-PVÄ'!B66)</f>
        <v>1584</v>
      </c>
      <c r="AC66" s="224">
        <f>SUMIFS('rehu-vesi-INFO'!$S:$S,'rehu-vesi-INFO'!$A:$A,'tuot-PVÄ'!B66)</f>
        <v>1679</v>
      </c>
      <c r="AD66" s="224">
        <f t="shared" si="4"/>
        <v>95</v>
      </c>
      <c r="AE66" s="224">
        <f t="shared" si="5"/>
        <v>0</v>
      </c>
      <c r="AF66" s="224">
        <f t="shared" si="6"/>
        <v>158.4</v>
      </c>
      <c r="AG66" s="224">
        <f t="shared" si="7"/>
        <v>9.5</v>
      </c>
      <c r="AH66" s="257">
        <f t="shared" si="13"/>
        <v>0</v>
      </c>
      <c r="AI66" s="258">
        <f t="shared" si="14"/>
        <v>0</v>
      </c>
      <c r="AJ66" s="55">
        <f>SUMIFS('tuot-INFO'!W:W,'tuot-INFO'!$A:$A,'tuot-PVÄ'!B66)</f>
        <v>87.047999999999988</v>
      </c>
      <c r="AK66" s="55">
        <f>SUMIFS('tuot-INFO'!X:X,'tuot-INFO'!$A:$A,'tuot-PVÄ'!B66)</f>
        <v>9.36</v>
      </c>
    </row>
    <row r="67" spans="1:37" x14ac:dyDescent="0.25">
      <c r="A67" s="169">
        <f t="shared" si="8"/>
        <v>42553</v>
      </c>
      <c r="B67" s="23">
        <f>ROUNDUP((A67-Yleistiedot!$B$4)/7,0)</f>
        <v>27</v>
      </c>
      <c r="C67" s="16"/>
      <c r="D67" s="25"/>
      <c r="E67" s="25"/>
      <c r="F67" s="25"/>
      <c r="G67" s="25"/>
      <c r="H67" s="25"/>
      <c r="I67" s="65">
        <f t="shared" si="0"/>
        <v>0</v>
      </c>
      <c r="J67" s="26"/>
      <c r="K67" s="25"/>
      <c r="L67" s="16"/>
      <c r="M67" s="16"/>
      <c r="N67" s="25"/>
      <c r="O67" s="30"/>
      <c r="P67" s="252">
        <f t="shared" si="25"/>
        <v>9990</v>
      </c>
      <c r="Q67" s="253">
        <f t="shared" si="26"/>
        <v>0</v>
      </c>
      <c r="R67" s="253">
        <f t="shared" si="27"/>
        <v>0</v>
      </c>
      <c r="S67" s="251">
        <f>SUMIFS('tuot-rehukirjanpito'!D:D,'tuot-rehukirjanpito'!A:A,A67)</f>
        <v>0</v>
      </c>
      <c r="T67" s="254">
        <f t="shared" si="10"/>
        <v>1098.9000000000001</v>
      </c>
      <c r="U67" s="254">
        <f t="shared" si="21"/>
        <v>1098.8999999999999</v>
      </c>
      <c r="V67" s="252">
        <f>IF(SUMIFS('tuot-rehukirjanpito'!E:E,'tuot-rehukirjanpito'!A:A,'tuot-PVÄ'!A67)&gt;0,SUMIFS('tuot-rehukirjanpito'!E:E,'tuot-rehukirjanpito'!A:A,'tuot-PVÄ'!A67),V66+S67-T67)</f>
        <v>-71428.500000000029</v>
      </c>
      <c r="W67" s="255">
        <f t="shared" si="28"/>
        <v>-65.000000000000028</v>
      </c>
      <c r="X67" s="256" t="str">
        <f t="shared" si="19"/>
        <v/>
      </c>
      <c r="Y67" s="256" t="str">
        <f t="shared" si="20"/>
        <v/>
      </c>
      <c r="Z67" s="224" t="str">
        <f>IF(IFERROR(INDEX('tuot-rehukirjanpito'!I:I,MATCH(A67,'tuot-rehukirjanpito'!G:G,0)),"EI")="EI","",INDEX('tuot-rehukirjanpito'!I:I,MATCH(A67,'tuot-rehukirjanpito'!G:G,0)))</f>
        <v/>
      </c>
      <c r="AA67" s="224">
        <f>SUMIFS('tuot-INFO'!$K$10:$K$115,'tuot-INFO'!$A$10:$A$115,'tuot-PVÄ'!B67)</f>
        <v>58.3</v>
      </c>
      <c r="AB67" s="224">
        <f>SUMIFS('rehu-vesi-INFO'!$R:$R,'rehu-vesi-INFO'!$A:$A,'tuot-PVÄ'!B67)</f>
        <v>1601</v>
      </c>
      <c r="AC67" s="224">
        <f>SUMIFS('rehu-vesi-INFO'!$S:$S,'rehu-vesi-INFO'!$A:$A,'tuot-PVÄ'!B67)</f>
        <v>1700</v>
      </c>
      <c r="AD67" s="224">
        <f t="shared" si="4"/>
        <v>99</v>
      </c>
      <c r="AE67" s="224">
        <f t="shared" si="5"/>
        <v>0</v>
      </c>
      <c r="AF67" s="224">
        <f t="shared" si="6"/>
        <v>160.1</v>
      </c>
      <c r="AG67" s="224">
        <f t="shared" si="7"/>
        <v>9.9</v>
      </c>
      <c r="AH67" s="257">
        <f t="shared" si="13"/>
        <v>0</v>
      </c>
      <c r="AI67" s="258">
        <f t="shared" si="14"/>
        <v>0</v>
      </c>
      <c r="AJ67" s="55">
        <f>SUMIFS('tuot-INFO'!W:W,'tuot-INFO'!$A:$A,'tuot-PVÄ'!B67)</f>
        <v>87.792000000000002</v>
      </c>
      <c r="AK67" s="55">
        <f>SUMIFS('tuot-INFO'!X:X,'tuot-INFO'!$A:$A,'tuot-PVÄ'!B67)</f>
        <v>9.4399999999999977</v>
      </c>
    </row>
    <row r="68" spans="1:37" x14ac:dyDescent="0.25">
      <c r="A68" s="169">
        <f t="shared" si="8"/>
        <v>42554</v>
      </c>
      <c r="B68" s="23">
        <f>ROUNDUP((A68-Yleistiedot!$B$4)/7,0)</f>
        <v>27</v>
      </c>
      <c r="C68" s="27"/>
      <c r="D68" s="25"/>
      <c r="E68" s="25"/>
      <c r="F68" s="28"/>
      <c r="G68" s="28"/>
      <c r="H68" s="28"/>
      <c r="I68" s="65">
        <f t="shared" ref="I68:I131" si="29">SUM(E68:H68)</f>
        <v>0</v>
      </c>
      <c r="J68" s="26"/>
      <c r="K68" s="25"/>
      <c r="L68" s="27"/>
      <c r="M68" s="27"/>
      <c r="N68" s="28"/>
      <c r="O68" s="31"/>
      <c r="P68" s="252">
        <f t="shared" si="25"/>
        <v>9990</v>
      </c>
      <c r="Q68" s="253">
        <f t="shared" si="26"/>
        <v>0</v>
      </c>
      <c r="R68" s="253">
        <f t="shared" si="27"/>
        <v>0</v>
      </c>
      <c r="S68" s="251">
        <f>SUMIFS('tuot-rehukirjanpito'!D:D,'tuot-rehukirjanpito'!A:A,A68)</f>
        <v>0</v>
      </c>
      <c r="T68" s="254">
        <f t="shared" si="10"/>
        <v>1098.9000000000001</v>
      </c>
      <c r="U68" s="254">
        <f t="shared" si="21"/>
        <v>1098.8999999999999</v>
      </c>
      <c r="V68" s="252">
        <f>IF(SUMIFS('tuot-rehukirjanpito'!E:E,'tuot-rehukirjanpito'!A:A,'tuot-PVÄ'!A68)&gt;0,SUMIFS('tuot-rehukirjanpito'!E:E,'tuot-rehukirjanpito'!A:A,'tuot-PVÄ'!A68),V67+S68-T68)</f>
        <v>-72527.400000000023</v>
      </c>
      <c r="W68" s="255">
        <f t="shared" si="28"/>
        <v>-66.000000000000028</v>
      </c>
      <c r="X68" s="256" t="str">
        <f t="shared" si="19"/>
        <v/>
      </c>
      <c r="Y68" s="256" t="str">
        <f t="shared" si="20"/>
        <v/>
      </c>
      <c r="Z68" s="224" t="str">
        <f>IF(IFERROR(INDEX('tuot-rehukirjanpito'!I:I,MATCH(A68,'tuot-rehukirjanpito'!G:G,0)),"EI")="EI","",INDEX('tuot-rehukirjanpito'!I:I,MATCH(A68,'tuot-rehukirjanpito'!G:G,0)))</f>
        <v/>
      </c>
      <c r="AA68" s="224">
        <f>SUMIFS('tuot-INFO'!$K$10:$K$115,'tuot-INFO'!$A$10:$A$115,'tuot-PVÄ'!B68)</f>
        <v>58.3</v>
      </c>
      <c r="AB68" s="224">
        <f>SUMIFS('rehu-vesi-INFO'!$R:$R,'rehu-vesi-INFO'!$A:$A,'tuot-PVÄ'!B68)</f>
        <v>1601</v>
      </c>
      <c r="AC68" s="224">
        <f>SUMIFS('rehu-vesi-INFO'!$S:$S,'rehu-vesi-INFO'!$A:$A,'tuot-PVÄ'!B68)</f>
        <v>1700</v>
      </c>
      <c r="AD68" s="224">
        <f t="shared" ref="AD68:AD131" si="30">AC68-AB68</f>
        <v>99</v>
      </c>
      <c r="AE68" s="224">
        <f t="shared" ref="AE68:AE131" si="31">K68/10</f>
        <v>0</v>
      </c>
      <c r="AF68" s="224">
        <f t="shared" ref="AF68:AF131" si="32">AB68/10</f>
        <v>160.1</v>
      </c>
      <c r="AG68" s="224">
        <f t="shared" ref="AG68:AG131" si="33">AD68/10</f>
        <v>9.9</v>
      </c>
      <c r="AH68" s="257">
        <f t="shared" si="13"/>
        <v>0</v>
      </c>
      <c r="AI68" s="258">
        <f t="shared" si="14"/>
        <v>0</v>
      </c>
      <c r="AJ68" s="55">
        <f>SUMIFS('tuot-INFO'!W:W,'tuot-INFO'!$A:$A,'tuot-PVÄ'!B68)</f>
        <v>87.792000000000002</v>
      </c>
      <c r="AK68" s="55">
        <f>SUMIFS('tuot-INFO'!X:X,'tuot-INFO'!$A:$A,'tuot-PVÄ'!B68)</f>
        <v>9.4399999999999977</v>
      </c>
    </row>
    <row r="69" spans="1:37" x14ac:dyDescent="0.25">
      <c r="A69" s="169">
        <f t="shared" ref="A69:A132" si="34">A68+1</f>
        <v>42555</v>
      </c>
      <c r="B69" s="23">
        <f>ROUNDUP((A69-Yleistiedot!$B$4)/7,0)</f>
        <v>27</v>
      </c>
      <c r="C69" s="16"/>
      <c r="D69" s="25"/>
      <c r="E69" s="25"/>
      <c r="F69" s="25"/>
      <c r="G69" s="25"/>
      <c r="H69" s="25"/>
      <c r="I69" s="65">
        <f t="shared" si="29"/>
        <v>0</v>
      </c>
      <c r="J69" s="26"/>
      <c r="K69" s="25"/>
      <c r="L69" s="16"/>
      <c r="M69" s="16"/>
      <c r="N69" s="25"/>
      <c r="O69" s="30"/>
      <c r="P69" s="252">
        <f t="shared" si="25"/>
        <v>9990</v>
      </c>
      <c r="Q69" s="253">
        <f t="shared" si="26"/>
        <v>0</v>
      </c>
      <c r="R69" s="253">
        <f t="shared" si="27"/>
        <v>0</v>
      </c>
      <c r="S69" s="251">
        <f>SUMIFS('tuot-rehukirjanpito'!D:D,'tuot-rehukirjanpito'!A:A,A69)</f>
        <v>0</v>
      </c>
      <c r="T69" s="254">
        <f t="shared" ref="T69:T132" si="35">IF(L69&gt;0,P69*L69/1000,T68)</f>
        <v>1098.9000000000001</v>
      </c>
      <c r="U69" s="254">
        <f t="shared" si="21"/>
        <v>1098.8999999999999</v>
      </c>
      <c r="V69" s="252">
        <f>IF(SUMIFS('tuot-rehukirjanpito'!E:E,'tuot-rehukirjanpito'!A:A,'tuot-PVÄ'!A69)&gt;0,SUMIFS('tuot-rehukirjanpito'!E:E,'tuot-rehukirjanpito'!A:A,'tuot-PVÄ'!A69),V68+S69-T69)</f>
        <v>-73626.300000000017</v>
      </c>
      <c r="W69" s="255">
        <f>IFERROR(V69/U69,"")</f>
        <v>-67.000000000000028</v>
      </c>
      <c r="X69" s="256" t="str">
        <f t="shared" si="19"/>
        <v/>
      </c>
      <c r="Y69" s="256" t="str">
        <f t="shared" si="20"/>
        <v/>
      </c>
      <c r="Z69" s="224" t="str">
        <f>IF(IFERROR(INDEX('tuot-rehukirjanpito'!I:I,MATCH(A69,'tuot-rehukirjanpito'!G:G,0)),"EI")="EI","",INDEX('tuot-rehukirjanpito'!I:I,MATCH(A69,'tuot-rehukirjanpito'!G:G,0)))</f>
        <v/>
      </c>
      <c r="AA69" s="224">
        <f>SUMIFS('tuot-INFO'!$K$10:$K$115,'tuot-INFO'!$A$10:$A$115,'tuot-PVÄ'!B69)</f>
        <v>58.3</v>
      </c>
      <c r="AB69" s="224">
        <f>SUMIFS('rehu-vesi-INFO'!$R:$R,'rehu-vesi-INFO'!$A:$A,'tuot-PVÄ'!B69)</f>
        <v>1601</v>
      </c>
      <c r="AC69" s="224">
        <f>SUMIFS('rehu-vesi-INFO'!$S:$S,'rehu-vesi-INFO'!$A:$A,'tuot-PVÄ'!B69)</f>
        <v>1700</v>
      </c>
      <c r="AD69" s="224">
        <f t="shared" si="30"/>
        <v>99</v>
      </c>
      <c r="AE69" s="224">
        <f t="shared" si="31"/>
        <v>0</v>
      </c>
      <c r="AF69" s="224">
        <f t="shared" si="32"/>
        <v>160.1</v>
      </c>
      <c r="AG69" s="224">
        <f t="shared" si="33"/>
        <v>9.9</v>
      </c>
      <c r="AH69" s="257">
        <f t="shared" si="13"/>
        <v>0</v>
      </c>
      <c r="AI69" s="258">
        <f t="shared" si="14"/>
        <v>0</v>
      </c>
      <c r="AJ69" s="55">
        <f>SUMIFS('tuot-INFO'!W:W,'tuot-INFO'!$A:$A,'tuot-PVÄ'!B69)</f>
        <v>87.792000000000002</v>
      </c>
      <c r="AK69" s="55">
        <f>SUMIFS('tuot-INFO'!X:X,'tuot-INFO'!$A:$A,'tuot-PVÄ'!B69)</f>
        <v>9.4399999999999977</v>
      </c>
    </row>
    <row r="70" spans="1:37" x14ac:dyDescent="0.25">
      <c r="A70" s="169">
        <f t="shared" si="34"/>
        <v>42556</v>
      </c>
      <c r="B70" s="23">
        <f>ROUNDUP((A70-Yleistiedot!$B$4)/7,0)</f>
        <v>27</v>
      </c>
      <c r="C70" s="16"/>
      <c r="D70" s="25"/>
      <c r="E70" s="25"/>
      <c r="F70" s="25"/>
      <c r="G70" s="25"/>
      <c r="H70" s="25"/>
      <c r="I70" s="65">
        <f t="shared" si="29"/>
        <v>0</v>
      </c>
      <c r="J70" s="26"/>
      <c r="K70" s="25"/>
      <c r="L70" s="16"/>
      <c r="M70" s="16"/>
      <c r="N70" s="25"/>
      <c r="O70" s="30"/>
      <c r="P70" s="252">
        <f t="shared" si="25"/>
        <v>9990</v>
      </c>
      <c r="Q70" s="253">
        <f t="shared" si="26"/>
        <v>0</v>
      </c>
      <c r="R70" s="253">
        <f t="shared" si="27"/>
        <v>0</v>
      </c>
      <c r="S70" s="251">
        <f>SUMIFS('tuot-rehukirjanpito'!D:D,'tuot-rehukirjanpito'!A:A,A70)</f>
        <v>0</v>
      </c>
      <c r="T70" s="254">
        <f t="shared" si="35"/>
        <v>1098.9000000000001</v>
      </c>
      <c r="U70" s="254">
        <f t="shared" si="21"/>
        <v>1098.8999999999999</v>
      </c>
      <c r="V70" s="252">
        <f>IF(SUMIFS('tuot-rehukirjanpito'!E:E,'tuot-rehukirjanpito'!A:A,'tuot-PVÄ'!A70)&gt;0,SUMIFS('tuot-rehukirjanpito'!E:E,'tuot-rehukirjanpito'!A:A,'tuot-PVÄ'!A70),V69+S70-T70)</f>
        <v>-74725.200000000012</v>
      </c>
      <c r="W70" s="255">
        <f t="shared" si="28"/>
        <v>-68.000000000000014</v>
      </c>
      <c r="X70" s="256" t="str">
        <f t="shared" si="19"/>
        <v/>
      </c>
      <c r="Y70" s="256" t="str">
        <f t="shared" si="20"/>
        <v/>
      </c>
      <c r="Z70" s="224" t="str">
        <f>IF(IFERROR(INDEX('tuot-rehukirjanpito'!I:I,MATCH(A70,'tuot-rehukirjanpito'!G:G,0)),"EI")="EI","",INDEX('tuot-rehukirjanpito'!I:I,MATCH(A70,'tuot-rehukirjanpito'!G:G,0)))</f>
        <v/>
      </c>
      <c r="AA70" s="224">
        <f>SUMIFS('tuot-INFO'!$K$10:$K$115,'tuot-INFO'!$A$10:$A$115,'tuot-PVÄ'!B70)</f>
        <v>58.3</v>
      </c>
      <c r="AB70" s="224">
        <f>SUMIFS('rehu-vesi-INFO'!$R:$R,'rehu-vesi-INFO'!$A:$A,'tuot-PVÄ'!B70)</f>
        <v>1601</v>
      </c>
      <c r="AC70" s="224">
        <f>SUMIFS('rehu-vesi-INFO'!$S:$S,'rehu-vesi-INFO'!$A:$A,'tuot-PVÄ'!B70)</f>
        <v>1700</v>
      </c>
      <c r="AD70" s="224">
        <f t="shared" si="30"/>
        <v>99</v>
      </c>
      <c r="AE70" s="224">
        <f t="shared" si="31"/>
        <v>0</v>
      </c>
      <c r="AF70" s="224">
        <f t="shared" si="32"/>
        <v>160.1</v>
      </c>
      <c r="AG70" s="224">
        <f t="shared" si="33"/>
        <v>9.9</v>
      </c>
      <c r="AH70" s="257">
        <f t="shared" ref="AH70:AH133" si="36">IFERROR(AVERAGE(L68:L70),)</f>
        <v>0</v>
      </c>
      <c r="AI70" s="258">
        <f t="shared" ref="AI70:AI133" si="37">AVERAGE(Q69+R69,Q70+R70,Q68+R68)</f>
        <v>0</v>
      </c>
      <c r="AJ70" s="55">
        <f>SUMIFS('tuot-INFO'!W:W,'tuot-INFO'!$A:$A,'tuot-PVÄ'!B70)</f>
        <v>87.792000000000002</v>
      </c>
      <c r="AK70" s="55">
        <f>SUMIFS('tuot-INFO'!X:X,'tuot-INFO'!$A:$A,'tuot-PVÄ'!B70)</f>
        <v>9.4399999999999977</v>
      </c>
    </row>
    <row r="71" spans="1:37" x14ac:dyDescent="0.25">
      <c r="A71" s="169">
        <f t="shared" si="34"/>
        <v>42557</v>
      </c>
      <c r="B71" s="23">
        <f>ROUNDUP((A71-Yleistiedot!$B$4)/7,0)</f>
        <v>27</v>
      </c>
      <c r="C71" s="16"/>
      <c r="D71" s="25"/>
      <c r="E71" s="25"/>
      <c r="F71" s="25"/>
      <c r="G71" s="25"/>
      <c r="H71" s="25"/>
      <c r="I71" s="65">
        <f t="shared" si="29"/>
        <v>0</v>
      </c>
      <c r="J71" s="26"/>
      <c r="K71" s="25"/>
      <c r="L71" s="16"/>
      <c r="M71" s="16"/>
      <c r="N71" s="25"/>
      <c r="O71" s="30"/>
      <c r="P71" s="252">
        <f t="shared" si="25"/>
        <v>9990</v>
      </c>
      <c r="Q71" s="253">
        <f t="shared" si="26"/>
        <v>0</v>
      </c>
      <c r="R71" s="253">
        <f t="shared" si="27"/>
        <v>0</v>
      </c>
      <c r="S71" s="251">
        <f>SUMIFS('tuot-rehukirjanpito'!D:D,'tuot-rehukirjanpito'!A:A,A71)</f>
        <v>0</v>
      </c>
      <c r="T71" s="254">
        <f t="shared" si="35"/>
        <v>1098.9000000000001</v>
      </c>
      <c r="U71" s="254">
        <f t="shared" si="21"/>
        <v>1098.8999999999999</v>
      </c>
      <c r="V71" s="252">
        <f>IF(SUMIFS('tuot-rehukirjanpito'!E:E,'tuot-rehukirjanpito'!A:A,'tuot-PVÄ'!A71)&gt;0,SUMIFS('tuot-rehukirjanpito'!E:E,'tuot-rehukirjanpito'!A:A,'tuot-PVÄ'!A71),V70+S71-T71)</f>
        <v>-75824.100000000006</v>
      </c>
      <c r="W71" s="255">
        <f t="shared" si="28"/>
        <v>-69.000000000000014</v>
      </c>
      <c r="X71" s="256" t="str">
        <f t="shared" si="19"/>
        <v/>
      </c>
      <c r="Y71" s="256" t="str">
        <f t="shared" si="20"/>
        <v/>
      </c>
      <c r="Z71" s="224" t="str">
        <f>IF(IFERROR(INDEX('tuot-rehukirjanpito'!I:I,MATCH(A71,'tuot-rehukirjanpito'!G:G,0)),"EI")="EI","",INDEX('tuot-rehukirjanpito'!I:I,MATCH(A71,'tuot-rehukirjanpito'!G:G,0)))</f>
        <v/>
      </c>
      <c r="AA71" s="224">
        <f>SUMIFS('tuot-INFO'!$K$10:$K$115,'tuot-INFO'!$A$10:$A$115,'tuot-PVÄ'!B71)</f>
        <v>58.3</v>
      </c>
      <c r="AB71" s="224">
        <f>SUMIFS('rehu-vesi-INFO'!$R:$R,'rehu-vesi-INFO'!$A:$A,'tuot-PVÄ'!B71)</f>
        <v>1601</v>
      </c>
      <c r="AC71" s="224">
        <f>SUMIFS('rehu-vesi-INFO'!$S:$S,'rehu-vesi-INFO'!$A:$A,'tuot-PVÄ'!B71)</f>
        <v>1700</v>
      </c>
      <c r="AD71" s="224">
        <f t="shared" si="30"/>
        <v>99</v>
      </c>
      <c r="AE71" s="224">
        <f t="shared" si="31"/>
        <v>0</v>
      </c>
      <c r="AF71" s="224">
        <f t="shared" si="32"/>
        <v>160.1</v>
      </c>
      <c r="AG71" s="224">
        <f t="shared" si="33"/>
        <v>9.9</v>
      </c>
      <c r="AH71" s="257">
        <f t="shared" si="36"/>
        <v>0</v>
      </c>
      <c r="AI71" s="258">
        <f t="shared" si="37"/>
        <v>0</v>
      </c>
      <c r="AJ71" s="55">
        <f>SUMIFS('tuot-INFO'!W:W,'tuot-INFO'!$A:$A,'tuot-PVÄ'!B71)</f>
        <v>87.792000000000002</v>
      </c>
      <c r="AK71" s="55">
        <f>SUMIFS('tuot-INFO'!X:X,'tuot-INFO'!$A:$A,'tuot-PVÄ'!B71)</f>
        <v>9.4399999999999977</v>
      </c>
    </row>
    <row r="72" spans="1:37" x14ac:dyDescent="0.25">
      <c r="A72" s="169">
        <f t="shared" si="34"/>
        <v>42558</v>
      </c>
      <c r="B72" s="23">
        <f>ROUNDUP((A72-Yleistiedot!$B$4)/7,0)</f>
        <v>27</v>
      </c>
      <c r="C72" s="16"/>
      <c r="D72" s="25"/>
      <c r="E72" s="25"/>
      <c r="F72" s="25"/>
      <c r="G72" s="25"/>
      <c r="H72" s="25"/>
      <c r="I72" s="65">
        <f t="shared" si="29"/>
        <v>0</v>
      </c>
      <c r="J72" s="26"/>
      <c r="K72" s="25"/>
      <c r="L72" s="16"/>
      <c r="M72" s="16"/>
      <c r="N72" s="25"/>
      <c r="O72" s="30"/>
      <c r="P72" s="252">
        <f t="shared" si="25"/>
        <v>9990</v>
      </c>
      <c r="Q72" s="253">
        <f t="shared" si="26"/>
        <v>0</v>
      </c>
      <c r="R72" s="253">
        <f t="shared" si="27"/>
        <v>0</v>
      </c>
      <c r="S72" s="251">
        <f>SUMIFS('tuot-rehukirjanpito'!D:D,'tuot-rehukirjanpito'!A:A,A72)</f>
        <v>0</v>
      </c>
      <c r="T72" s="254">
        <f t="shared" si="35"/>
        <v>1098.9000000000001</v>
      </c>
      <c r="U72" s="254">
        <f t="shared" si="21"/>
        <v>1098.8999999999999</v>
      </c>
      <c r="V72" s="252">
        <f>IF(SUMIFS('tuot-rehukirjanpito'!E:E,'tuot-rehukirjanpito'!A:A,'tuot-PVÄ'!A72)&gt;0,SUMIFS('tuot-rehukirjanpito'!E:E,'tuot-rehukirjanpito'!A:A,'tuot-PVÄ'!A72),V71+S72-T72)</f>
        <v>-76923</v>
      </c>
      <c r="W72" s="255">
        <f t="shared" si="28"/>
        <v>-70.000000000000014</v>
      </c>
      <c r="X72" s="256" t="str">
        <f t="shared" si="19"/>
        <v/>
      </c>
      <c r="Y72" s="256" t="str">
        <f t="shared" si="20"/>
        <v/>
      </c>
      <c r="Z72" s="224" t="str">
        <f>IF(IFERROR(INDEX('tuot-rehukirjanpito'!I:I,MATCH(A72,'tuot-rehukirjanpito'!G:G,0)),"EI")="EI","",INDEX('tuot-rehukirjanpito'!I:I,MATCH(A72,'tuot-rehukirjanpito'!G:G,0)))</f>
        <v/>
      </c>
      <c r="AA72" s="224">
        <f>SUMIFS('tuot-INFO'!$K$10:$K$115,'tuot-INFO'!$A$10:$A$115,'tuot-PVÄ'!B72)</f>
        <v>58.3</v>
      </c>
      <c r="AB72" s="224">
        <f>SUMIFS('rehu-vesi-INFO'!$R:$R,'rehu-vesi-INFO'!$A:$A,'tuot-PVÄ'!B72)</f>
        <v>1601</v>
      </c>
      <c r="AC72" s="224">
        <f>SUMIFS('rehu-vesi-INFO'!$S:$S,'rehu-vesi-INFO'!$A:$A,'tuot-PVÄ'!B72)</f>
        <v>1700</v>
      </c>
      <c r="AD72" s="224">
        <f t="shared" si="30"/>
        <v>99</v>
      </c>
      <c r="AE72" s="224">
        <f t="shared" si="31"/>
        <v>0</v>
      </c>
      <c r="AF72" s="224">
        <f t="shared" si="32"/>
        <v>160.1</v>
      </c>
      <c r="AG72" s="224">
        <f t="shared" si="33"/>
        <v>9.9</v>
      </c>
      <c r="AH72" s="257">
        <f t="shared" si="36"/>
        <v>0</v>
      </c>
      <c r="AI72" s="258">
        <f t="shared" si="37"/>
        <v>0</v>
      </c>
      <c r="AJ72" s="55">
        <f>SUMIFS('tuot-INFO'!W:W,'tuot-INFO'!$A:$A,'tuot-PVÄ'!B72)</f>
        <v>87.792000000000002</v>
      </c>
      <c r="AK72" s="55">
        <f>SUMIFS('tuot-INFO'!X:X,'tuot-INFO'!$A:$A,'tuot-PVÄ'!B72)</f>
        <v>9.4399999999999977</v>
      </c>
    </row>
    <row r="73" spans="1:37" x14ac:dyDescent="0.25">
      <c r="A73" s="169">
        <f t="shared" si="34"/>
        <v>42559</v>
      </c>
      <c r="B73" s="23">
        <f>ROUNDUP((A73-Yleistiedot!$B$4)/7,0)</f>
        <v>27</v>
      </c>
      <c r="C73" s="16"/>
      <c r="D73" s="25"/>
      <c r="E73" s="25"/>
      <c r="F73" s="25"/>
      <c r="G73" s="25"/>
      <c r="H73" s="25"/>
      <c r="I73" s="65">
        <f t="shared" si="29"/>
        <v>0</v>
      </c>
      <c r="J73" s="26"/>
      <c r="K73" s="25"/>
      <c r="L73" s="16"/>
      <c r="M73" s="16"/>
      <c r="N73" s="25"/>
      <c r="O73" s="30"/>
      <c r="P73" s="252">
        <f t="shared" si="25"/>
        <v>9990</v>
      </c>
      <c r="Q73" s="253">
        <f t="shared" si="26"/>
        <v>0</v>
      </c>
      <c r="R73" s="253">
        <f t="shared" si="27"/>
        <v>0</v>
      </c>
      <c r="S73" s="251">
        <f>SUMIFS('tuot-rehukirjanpito'!D:D,'tuot-rehukirjanpito'!A:A,A73)</f>
        <v>0</v>
      </c>
      <c r="T73" s="254">
        <f t="shared" si="35"/>
        <v>1098.9000000000001</v>
      </c>
      <c r="U73" s="254">
        <f t="shared" si="21"/>
        <v>1098.8999999999999</v>
      </c>
      <c r="V73" s="252">
        <f>IF(SUMIFS('tuot-rehukirjanpito'!E:E,'tuot-rehukirjanpito'!A:A,'tuot-PVÄ'!A73)&gt;0,SUMIFS('tuot-rehukirjanpito'!E:E,'tuot-rehukirjanpito'!A:A,'tuot-PVÄ'!A73),V72+S73-T73)</f>
        <v>-78021.899999999994</v>
      </c>
      <c r="W73" s="255">
        <f t="shared" si="28"/>
        <v>-71</v>
      </c>
      <c r="X73" s="256" t="str">
        <f t="shared" si="19"/>
        <v/>
      </c>
      <c r="Y73" s="256" t="str">
        <f t="shared" si="20"/>
        <v/>
      </c>
      <c r="Z73" s="224" t="str">
        <f>IF(IFERROR(INDEX('tuot-rehukirjanpito'!I:I,MATCH(A73,'tuot-rehukirjanpito'!G:G,0)),"EI")="EI","",INDEX('tuot-rehukirjanpito'!I:I,MATCH(A73,'tuot-rehukirjanpito'!G:G,0)))</f>
        <v/>
      </c>
      <c r="AA73" s="224">
        <f>SUMIFS('tuot-INFO'!$K$10:$K$115,'tuot-INFO'!$A$10:$A$115,'tuot-PVÄ'!B73)</f>
        <v>58.3</v>
      </c>
      <c r="AB73" s="224">
        <f>SUMIFS('rehu-vesi-INFO'!$R:$R,'rehu-vesi-INFO'!$A:$A,'tuot-PVÄ'!B73)</f>
        <v>1601</v>
      </c>
      <c r="AC73" s="224">
        <f>SUMIFS('rehu-vesi-INFO'!$S:$S,'rehu-vesi-INFO'!$A:$A,'tuot-PVÄ'!B73)</f>
        <v>1700</v>
      </c>
      <c r="AD73" s="224">
        <f t="shared" si="30"/>
        <v>99</v>
      </c>
      <c r="AE73" s="224">
        <f t="shared" si="31"/>
        <v>0</v>
      </c>
      <c r="AF73" s="224">
        <f t="shared" si="32"/>
        <v>160.1</v>
      </c>
      <c r="AG73" s="224">
        <f t="shared" si="33"/>
        <v>9.9</v>
      </c>
      <c r="AH73" s="257">
        <f t="shared" si="36"/>
        <v>0</v>
      </c>
      <c r="AI73" s="258">
        <f t="shared" si="37"/>
        <v>0</v>
      </c>
      <c r="AJ73" s="55">
        <f>SUMIFS('tuot-INFO'!W:W,'tuot-INFO'!$A:$A,'tuot-PVÄ'!B73)</f>
        <v>87.792000000000002</v>
      </c>
      <c r="AK73" s="55">
        <f>SUMIFS('tuot-INFO'!X:X,'tuot-INFO'!$A:$A,'tuot-PVÄ'!B73)</f>
        <v>9.4399999999999977</v>
      </c>
    </row>
    <row r="74" spans="1:37" x14ac:dyDescent="0.25">
      <c r="A74" s="169">
        <f t="shared" si="34"/>
        <v>42560</v>
      </c>
      <c r="B74" s="23">
        <f>ROUNDUP((A74-Yleistiedot!$B$4)/7,0)</f>
        <v>28</v>
      </c>
      <c r="C74" s="16"/>
      <c r="D74" s="25"/>
      <c r="E74" s="25"/>
      <c r="F74" s="25"/>
      <c r="G74" s="25"/>
      <c r="H74" s="25"/>
      <c r="I74" s="65">
        <f t="shared" si="29"/>
        <v>0</v>
      </c>
      <c r="J74" s="26"/>
      <c r="K74" s="25"/>
      <c r="L74" s="16"/>
      <c r="M74" s="16"/>
      <c r="N74" s="25"/>
      <c r="O74" s="30"/>
      <c r="P74" s="252">
        <f t="shared" si="25"/>
        <v>9990</v>
      </c>
      <c r="Q74" s="253">
        <f t="shared" si="26"/>
        <v>0</v>
      </c>
      <c r="R74" s="253">
        <f t="shared" si="27"/>
        <v>0</v>
      </c>
      <c r="S74" s="251">
        <f>SUMIFS('tuot-rehukirjanpito'!D:D,'tuot-rehukirjanpito'!A:A,A74)</f>
        <v>0</v>
      </c>
      <c r="T74" s="254">
        <f t="shared" si="35"/>
        <v>1098.9000000000001</v>
      </c>
      <c r="U74" s="254">
        <f t="shared" si="21"/>
        <v>1098.8999999999999</v>
      </c>
      <c r="V74" s="252">
        <f t="shared" ref="V74:V119" si="38">V73+S74-T74</f>
        <v>-79120.799999999988</v>
      </c>
      <c r="W74" s="255">
        <f t="shared" si="28"/>
        <v>-72</v>
      </c>
      <c r="X74" s="256" t="str">
        <f t="shared" si="19"/>
        <v/>
      </c>
      <c r="Y74" s="256" t="str">
        <f t="shared" si="20"/>
        <v/>
      </c>
      <c r="Z74" s="224" t="str">
        <f>IF(IFERROR(INDEX('tuot-rehukirjanpito'!I:I,MATCH(A74,'tuot-rehukirjanpito'!G:G,0)),"EI")="EI","",INDEX('tuot-rehukirjanpito'!I:I,MATCH(A74,'tuot-rehukirjanpito'!G:G,0)))</f>
        <v/>
      </c>
      <c r="AA74" s="224">
        <f>SUMIFS('tuot-INFO'!$K$10:$K$115,'tuot-INFO'!$A$10:$A$115,'tuot-PVÄ'!B74)</f>
        <v>59</v>
      </c>
      <c r="AB74" s="224">
        <f>SUMIFS('rehu-vesi-INFO'!$R:$R,'rehu-vesi-INFO'!$A:$A,'tuot-PVÄ'!B74)</f>
        <v>1620</v>
      </c>
      <c r="AC74" s="224">
        <f>SUMIFS('rehu-vesi-INFO'!$S:$S,'rehu-vesi-INFO'!$A:$A,'tuot-PVÄ'!B74)</f>
        <v>1720</v>
      </c>
      <c r="AD74" s="224">
        <f t="shared" si="30"/>
        <v>100</v>
      </c>
      <c r="AE74" s="224">
        <f t="shared" si="31"/>
        <v>0</v>
      </c>
      <c r="AF74" s="224">
        <f t="shared" si="32"/>
        <v>162</v>
      </c>
      <c r="AG74" s="224">
        <f t="shared" si="33"/>
        <v>10</v>
      </c>
      <c r="AH74" s="257">
        <f t="shared" si="36"/>
        <v>0</v>
      </c>
      <c r="AI74" s="258">
        <f t="shared" si="37"/>
        <v>0</v>
      </c>
      <c r="AJ74" s="55">
        <f>SUMIFS('tuot-INFO'!W:W,'tuot-INFO'!$A:$A,'tuot-PVÄ'!B74)</f>
        <v>88.257000000000005</v>
      </c>
      <c r="AK74" s="55">
        <f>SUMIFS('tuot-INFO'!X:X,'tuot-INFO'!$A:$A,'tuot-PVÄ'!B74)</f>
        <v>9.4899999999999949</v>
      </c>
    </row>
    <row r="75" spans="1:37" x14ac:dyDescent="0.25">
      <c r="A75" s="169">
        <f t="shared" si="34"/>
        <v>42561</v>
      </c>
      <c r="B75" s="23">
        <f>ROUNDUP((A75-Yleistiedot!$B$4)/7,0)</f>
        <v>28</v>
      </c>
      <c r="C75" s="16"/>
      <c r="D75" s="25"/>
      <c r="E75" s="25"/>
      <c r="F75" s="25"/>
      <c r="G75" s="25"/>
      <c r="H75" s="25"/>
      <c r="I75" s="65">
        <f t="shared" si="29"/>
        <v>0</v>
      </c>
      <c r="J75" s="26"/>
      <c r="K75" s="25"/>
      <c r="L75" s="16"/>
      <c r="M75" s="16"/>
      <c r="N75" s="25"/>
      <c r="O75" s="176"/>
      <c r="P75" s="252">
        <f t="shared" si="25"/>
        <v>9990</v>
      </c>
      <c r="Q75" s="253">
        <f t="shared" si="26"/>
        <v>0</v>
      </c>
      <c r="R75" s="253">
        <f t="shared" si="27"/>
        <v>0</v>
      </c>
      <c r="S75" s="251">
        <f>SUMIFS('tuot-rehukirjanpito'!D:D,'tuot-rehukirjanpito'!A:A,A75)</f>
        <v>0</v>
      </c>
      <c r="T75" s="254">
        <f t="shared" si="35"/>
        <v>1098.9000000000001</v>
      </c>
      <c r="U75" s="254">
        <f>IFERROR(AVERAGEIF(T69:T75,"&lt;&gt;0"),0)</f>
        <v>1098.8999999999999</v>
      </c>
      <c r="V75" s="252">
        <f>V74+S75-T75</f>
        <v>-80219.699999999983</v>
      </c>
      <c r="W75" s="255">
        <f>IFERROR(V75/U75,"")</f>
        <v>-73</v>
      </c>
      <c r="X75" s="256" t="str">
        <f t="shared" si="19"/>
        <v/>
      </c>
      <c r="Y75" s="256" t="str">
        <f t="shared" si="20"/>
        <v/>
      </c>
      <c r="Z75" s="224" t="str">
        <f>IF(IFERROR(INDEX('tuot-rehukirjanpito'!I:I,MATCH(A75,'tuot-rehukirjanpito'!G:G,0)),)=0,"",INDEX('tuot-rehukirjanpito'!I:I,MATCH(A75,'tuot-rehukirjanpito'!G:G,0)))</f>
        <v/>
      </c>
      <c r="AA75" s="224">
        <f>SUMIFS('tuot-INFO'!$K$10:$K$115,'tuot-INFO'!$A$10:$A$115,'tuot-PVÄ'!B75)</f>
        <v>59</v>
      </c>
      <c r="AB75" s="224">
        <f>SUMIFS('rehu-vesi-INFO'!$R:$R,'rehu-vesi-INFO'!$A:$A,'tuot-PVÄ'!B75)</f>
        <v>1620</v>
      </c>
      <c r="AC75" s="224">
        <f>SUMIFS('rehu-vesi-INFO'!$S:$S,'rehu-vesi-INFO'!$A:$A,'tuot-PVÄ'!B75)</f>
        <v>1720</v>
      </c>
      <c r="AD75" s="224">
        <f t="shared" si="30"/>
        <v>100</v>
      </c>
      <c r="AE75" s="224">
        <f t="shared" si="31"/>
        <v>0</v>
      </c>
      <c r="AF75" s="224">
        <f t="shared" si="32"/>
        <v>162</v>
      </c>
      <c r="AG75" s="224">
        <f t="shared" si="33"/>
        <v>10</v>
      </c>
      <c r="AH75" s="257">
        <f t="shared" si="36"/>
        <v>0</v>
      </c>
      <c r="AI75" s="258">
        <f t="shared" si="37"/>
        <v>0</v>
      </c>
      <c r="AJ75" s="55">
        <f>SUMIFS('tuot-INFO'!W:W,'tuot-INFO'!$A:$A,'tuot-PVÄ'!B75)</f>
        <v>88.257000000000005</v>
      </c>
      <c r="AK75" s="55">
        <f>SUMIFS('tuot-INFO'!X:X,'tuot-INFO'!$A:$A,'tuot-PVÄ'!B75)</f>
        <v>9.4899999999999949</v>
      </c>
    </row>
    <row r="76" spans="1:37" x14ac:dyDescent="0.25">
      <c r="A76" s="169">
        <f t="shared" si="34"/>
        <v>42562</v>
      </c>
      <c r="B76" s="23">
        <f>ROUNDUP((A76-Yleistiedot!$B$4)/7,0)</f>
        <v>28</v>
      </c>
      <c r="C76" s="16"/>
      <c r="D76" s="25"/>
      <c r="E76" s="25"/>
      <c r="F76" s="25"/>
      <c r="G76" s="25"/>
      <c r="H76" s="25"/>
      <c r="I76" s="65">
        <f t="shared" si="29"/>
        <v>0</v>
      </c>
      <c r="J76" s="26"/>
      <c r="K76" s="25"/>
      <c r="L76" s="16"/>
      <c r="M76" s="16"/>
      <c r="N76" s="25"/>
      <c r="O76" s="30"/>
      <c r="P76" s="252">
        <f t="shared" si="25"/>
        <v>9990</v>
      </c>
      <c r="Q76" s="253">
        <f t="shared" si="26"/>
        <v>0</v>
      </c>
      <c r="R76" s="253">
        <f t="shared" si="27"/>
        <v>0</v>
      </c>
      <c r="S76" s="251">
        <f>SUMIFS('tuot-rehukirjanpito'!D:D,'tuot-rehukirjanpito'!A:A,A76)</f>
        <v>0</v>
      </c>
      <c r="T76" s="254">
        <f t="shared" si="35"/>
        <v>1098.9000000000001</v>
      </c>
      <c r="U76" s="254">
        <f t="shared" si="21"/>
        <v>1098.8999999999999</v>
      </c>
      <c r="V76" s="252">
        <f t="shared" si="38"/>
        <v>-81318.599999999977</v>
      </c>
      <c r="W76" s="255">
        <f t="shared" si="28"/>
        <v>-73.999999999999986</v>
      </c>
      <c r="X76" s="256" t="str">
        <f t="shared" si="19"/>
        <v/>
      </c>
      <c r="Y76" s="256" t="str">
        <f t="shared" si="20"/>
        <v/>
      </c>
      <c r="Z76" s="224" t="str">
        <f>IF(IFERROR(INDEX('tuot-rehukirjanpito'!I:I,MATCH(A76,'tuot-rehukirjanpito'!G:G,0)),)=0,"",INDEX('tuot-rehukirjanpito'!I:I,MATCH(A76,'tuot-rehukirjanpito'!G:G,0)))</f>
        <v/>
      </c>
      <c r="AA76" s="224">
        <f>SUMIFS('tuot-INFO'!$K$10:$K$115,'tuot-INFO'!$A$10:$A$115,'tuot-PVÄ'!B76)</f>
        <v>59</v>
      </c>
      <c r="AB76" s="224">
        <f>SUMIFS('rehu-vesi-INFO'!$R:$R,'rehu-vesi-INFO'!$A:$A,'tuot-PVÄ'!B76)</f>
        <v>1620</v>
      </c>
      <c r="AC76" s="224">
        <f>SUMIFS('rehu-vesi-INFO'!$S:$S,'rehu-vesi-INFO'!$A:$A,'tuot-PVÄ'!B76)</f>
        <v>1720</v>
      </c>
      <c r="AD76" s="224">
        <f t="shared" si="30"/>
        <v>100</v>
      </c>
      <c r="AE76" s="224">
        <f t="shared" si="31"/>
        <v>0</v>
      </c>
      <c r="AF76" s="224">
        <f t="shared" si="32"/>
        <v>162</v>
      </c>
      <c r="AG76" s="224">
        <f t="shared" si="33"/>
        <v>10</v>
      </c>
      <c r="AH76" s="257">
        <f t="shared" si="36"/>
        <v>0</v>
      </c>
      <c r="AI76" s="258">
        <f t="shared" si="37"/>
        <v>0</v>
      </c>
      <c r="AJ76" s="55">
        <f>SUMIFS('tuot-INFO'!W:W,'tuot-INFO'!$A:$A,'tuot-PVÄ'!B76)</f>
        <v>88.257000000000005</v>
      </c>
      <c r="AK76" s="55">
        <f>SUMIFS('tuot-INFO'!X:X,'tuot-INFO'!$A:$A,'tuot-PVÄ'!B76)</f>
        <v>9.4899999999999949</v>
      </c>
    </row>
    <row r="77" spans="1:37" x14ac:dyDescent="0.25">
      <c r="A77" s="169">
        <f t="shared" si="34"/>
        <v>42563</v>
      </c>
      <c r="B77" s="23">
        <f>ROUNDUP((A77-Yleistiedot!$B$4)/7,0)</f>
        <v>28</v>
      </c>
      <c r="C77" s="16"/>
      <c r="D77" s="25"/>
      <c r="E77" s="25"/>
      <c r="F77" s="25"/>
      <c r="G77" s="25"/>
      <c r="H77" s="25"/>
      <c r="I77" s="65">
        <f t="shared" si="29"/>
        <v>0</v>
      </c>
      <c r="J77" s="26"/>
      <c r="K77" s="25"/>
      <c r="L77" s="16"/>
      <c r="M77" s="16"/>
      <c r="N77" s="25"/>
      <c r="O77" s="30"/>
      <c r="P77" s="252">
        <f t="shared" si="25"/>
        <v>9990</v>
      </c>
      <c r="Q77" s="253">
        <f t="shared" si="26"/>
        <v>0</v>
      </c>
      <c r="R77" s="253">
        <f t="shared" si="27"/>
        <v>0</v>
      </c>
      <c r="S77" s="251">
        <f>SUMIFS('tuot-rehukirjanpito'!D:D,'tuot-rehukirjanpito'!A:A,A77)</f>
        <v>0</v>
      </c>
      <c r="T77" s="254">
        <f t="shared" si="35"/>
        <v>1098.9000000000001</v>
      </c>
      <c r="U77" s="254">
        <f t="shared" si="21"/>
        <v>1098.8999999999999</v>
      </c>
      <c r="V77" s="252">
        <f t="shared" si="38"/>
        <v>-82417.499999999971</v>
      </c>
      <c r="W77" s="255">
        <f t="shared" si="28"/>
        <v>-74.999999999999986</v>
      </c>
      <c r="X77" s="256" t="str">
        <f t="shared" si="19"/>
        <v/>
      </c>
      <c r="Y77" s="256" t="str">
        <f t="shared" si="20"/>
        <v/>
      </c>
      <c r="Z77" s="224" t="str">
        <f>IF(IFERROR(INDEX('tuot-rehukirjanpito'!I:I,MATCH(A77,'tuot-rehukirjanpito'!G:G,0)),)=0,"",INDEX('tuot-rehukirjanpito'!I:I,MATCH(A77,'tuot-rehukirjanpito'!G:G,0)))</f>
        <v/>
      </c>
      <c r="AA77" s="224">
        <f>SUMIFS('tuot-INFO'!$K$10:$K$115,'tuot-INFO'!$A$10:$A$115,'tuot-PVÄ'!B77)</f>
        <v>59</v>
      </c>
      <c r="AB77" s="224">
        <f>SUMIFS('rehu-vesi-INFO'!$R:$R,'rehu-vesi-INFO'!$A:$A,'tuot-PVÄ'!B77)</f>
        <v>1620</v>
      </c>
      <c r="AC77" s="224">
        <f>SUMIFS('rehu-vesi-INFO'!$S:$S,'rehu-vesi-INFO'!$A:$A,'tuot-PVÄ'!B77)</f>
        <v>1720</v>
      </c>
      <c r="AD77" s="224">
        <f t="shared" si="30"/>
        <v>100</v>
      </c>
      <c r="AE77" s="224">
        <f t="shared" si="31"/>
        <v>0</v>
      </c>
      <c r="AF77" s="224">
        <f t="shared" si="32"/>
        <v>162</v>
      </c>
      <c r="AG77" s="224">
        <f t="shared" si="33"/>
        <v>10</v>
      </c>
      <c r="AH77" s="257">
        <f t="shared" si="36"/>
        <v>0</v>
      </c>
      <c r="AI77" s="258">
        <f t="shared" si="37"/>
        <v>0</v>
      </c>
      <c r="AJ77" s="55">
        <f>SUMIFS('tuot-INFO'!W:W,'tuot-INFO'!$A:$A,'tuot-PVÄ'!B77)</f>
        <v>88.257000000000005</v>
      </c>
      <c r="AK77" s="55">
        <f>SUMIFS('tuot-INFO'!X:X,'tuot-INFO'!$A:$A,'tuot-PVÄ'!B77)</f>
        <v>9.4899999999999949</v>
      </c>
    </row>
    <row r="78" spans="1:37" x14ac:dyDescent="0.25">
      <c r="A78" s="169">
        <f t="shared" si="34"/>
        <v>42564</v>
      </c>
      <c r="B78" s="23">
        <f>ROUNDUP((A78-Yleistiedot!$B$4)/7,0)</f>
        <v>28</v>
      </c>
      <c r="C78" s="16"/>
      <c r="D78" s="25"/>
      <c r="E78" s="25"/>
      <c r="F78" s="25"/>
      <c r="G78" s="25"/>
      <c r="H78" s="25"/>
      <c r="I78" s="65">
        <f t="shared" si="29"/>
        <v>0</v>
      </c>
      <c r="J78" s="26"/>
      <c r="K78" s="25"/>
      <c r="L78" s="16"/>
      <c r="M78" s="16"/>
      <c r="N78" s="25"/>
      <c r="O78" s="30"/>
      <c r="P78" s="252">
        <f t="shared" si="25"/>
        <v>9990</v>
      </c>
      <c r="Q78" s="253">
        <f t="shared" si="26"/>
        <v>0</v>
      </c>
      <c r="R78" s="253">
        <f t="shared" si="27"/>
        <v>0</v>
      </c>
      <c r="S78" s="251">
        <f>SUMIFS('tuot-rehukirjanpito'!D:D,'tuot-rehukirjanpito'!A:A,A78)</f>
        <v>0</v>
      </c>
      <c r="T78" s="254">
        <f t="shared" si="35"/>
        <v>1098.9000000000001</v>
      </c>
      <c r="U78" s="254">
        <f t="shared" si="21"/>
        <v>1098.8999999999999</v>
      </c>
      <c r="V78" s="252">
        <f t="shared" si="38"/>
        <v>-83516.399999999965</v>
      </c>
      <c r="W78" s="255">
        <f t="shared" si="28"/>
        <v>-75.999999999999972</v>
      </c>
      <c r="X78" s="256" t="str">
        <f t="shared" si="19"/>
        <v/>
      </c>
      <c r="Y78" s="256" t="str">
        <f t="shared" si="20"/>
        <v/>
      </c>
      <c r="Z78" s="224" t="str">
        <f>IF(IFERROR(INDEX('tuot-rehukirjanpito'!I:I,MATCH(A78,'tuot-rehukirjanpito'!G:G,0)),)=0,"",INDEX('tuot-rehukirjanpito'!I:I,MATCH(A78,'tuot-rehukirjanpito'!G:G,0)))</f>
        <v/>
      </c>
      <c r="AA78" s="224">
        <f>SUMIFS('tuot-INFO'!$K$10:$K$115,'tuot-INFO'!$A$10:$A$115,'tuot-PVÄ'!B78)</f>
        <v>59</v>
      </c>
      <c r="AB78" s="224">
        <f>SUMIFS('rehu-vesi-INFO'!$R:$R,'rehu-vesi-INFO'!$A:$A,'tuot-PVÄ'!B78)</f>
        <v>1620</v>
      </c>
      <c r="AC78" s="224">
        <f>SUMIFS('rehu-vesi-INFO'!$S:$S,'rehu-vesi-INFO'!$A:$A,'tuot-PVÄ'!B78)</f>
        <v>1720</v>
      </c>
      <c r="AD78" s="224">
        <f t="shared" si="30"/>
        <v>100</v>
      </c>
      <c r="AE78" s="224">
        <f t="shared" si="31"/>
        <v>0</v>
      </c>
      <c r="AF78" s="224">
        <f t="shared" si="32"/>
        <v>162</v>
      </c>
      <c r="AG78" s="224">
        <f t="shared" si="33"/>
        <v>10</v>
      </c>
      <c r="AH78" s="257">
        <f t="shared" si="36"/>
        <v>0</v>
      </c>
      <c r="AI78" s="258">
        <f t="shared" si="37"/>
        <v>0</v>
      </c>
      <c r="AJ78" s="55">
        <f>SUMIFS('tuot-INFO'!W:W,'tuot-INFO'!$A:$A,'tuot-PVÄ'!B78)</f>
        <v>88.257000000000005</v>
      </c>
      <c r="AK78" s="55">
        <f>SUMIFS('tuot-INFO'!X:X,'tuot-INFO'!$A:$A,'tuot-PVÄ'!B78)</f>
        <v>9.4899999999999949</v>
      </c>
    </row>
    <row r="79" spans="1:37" x14ac:dyDescent="0.25">
      <c r="A79" s="169">
        <f t="shared" si="34"/>
        <v>42565</v>
      </c>
      <c r="B79" s="23">
        <f>ROUNDUP((A79-Yleistiedot!$B$4)/7,0)</f>
        <v>28</v>
      </c>
      <c r="C79" s="16"/>
      <c r="D79" s="25"/>
      <c r="E79" s="25"/>
      <c r="F79" s="25"/>
      <c r="G79" s="25"/>
      <c r="H79" s="25"/>
      <c r="I79" s="65">
        <f t="shared" si="29"/>
        <v>0</v>
      </c>
      <c r="J79" s="26"/>
      <c r="K79" s="25"/>
      <c r="L79" s="16"/>
      <c r="M79" s="16"/>
      <c r="N79" s="25"/>
      <c r="O79" s="30"/>
      <c r="P79" s="252">
        <f t="shared" si="25"/>
        <v>9990</v>
      </c>
      <c r="Q79" s="253">
        <f t="shared" si="26"/>
        <v>0</v>
      </c>
      <c r="R79" s="253">
        <f t="shared" si="27"/>
        <v>0</v>
      </c>
      <c r="S79" s="251">
        <f>SUMIFS('tuot-rehukirjanpito'!D:D,'tuot-rehukirjanpito'!A:A,A79)</f>
        <v>0</v>
      </c>
      <c r="T79" s="254">
        <f t="shared" si="35"/>
        <v>1098.9000000000001</v>
      </c>
      <c r="U79" s="254">
        <f t="shared" si="21"/>
        <v>1098.8999999999999</v>
      </c>
      <c r="V79" s="252">
        <f t="shared" si="38"/>
        <v>-84615.299999999959</v>
      </c>
      <c r="W79" s="255">
        <f t="shared" si="28"/>
        <v>-76.999999999999972</v>
      </c>
      <c r="X79" s="256" t="str">
        <f t="shared" si="19"/>
        <v/>
      </c>
      <c r="Y79" s="256" t="str">
        <f t="shared" si="20"/>
        <v/>
      </c>
      <c r="Z79" s="224" t="str">
        <f>IF(IFERROR(INDEX('tuot-rehukirjanpito'!I:I,MATCH(A79,'tuot-rehukirjanpito'!G:G,0)),)=0,"",INDEX('tuot-rehukirjanpito'!I:I,MATCH(A79,'tuot-rehukirjanpito'!G:G,0)))</f>
        <v/>
      </c>
      <c r="AA79" s="224">
        <f>SUMIFS('tuot-INFO'!$K$10:$K$115,'tuot-INFO'!$A$10:$A$115,'tuot-PVÄ'!B79)</f>
        <v>59</v>
      </c>
      <c r="AB79" s="224">
        <f>SUMIFS('rehu-vesi-INFO'!$R:$R,'rehu-vesi-INFO'!$A:$A,'tuot-PVÄ'!B79)</f>
        <v>1620</v>
      </c>
      <c r="AC79" s="224">
        <f>SUMIFS('rehu-vesi-INFO'!$S:$S,'rehu-vesi-INFO'!$A:$A,'tuot-PVÄ'!B79)</f>
        <v>1720</v>
      </c>
      <c r="AD79" s="224">
        <f t="shared" si="30"/>
        <v>100</v>
      </c>
      <c r="AE79" s="224">
        <f t="shared" si="31"/>
        <v>0</v>
      </c>
      <c r="AF79" s="224">
        <f t="shared" si="32"/>
        <v>162</v>
      </c>
      <c r="AG79" s="224">
        <f t="shared" si="33"/>
        <v>10</v>
      </c>
      <c r="AH79" s="257">
        <f t="shared" si="36"/>
        <v>0</v>
      </c>
      <c r="AI79" s="258">
        <f t="shared" si="37"/>
        <v>0</v>
      </c>
      <c r="AJ79" s="55">
        <f>SUMIFS('tuot-INFO'!W:W,'tuot-INFO'!$A:$A,'tuot-PVÄ'!B79)</f>
        <v>88.257000000000005</v>
      </c>
      <c r="AK79" s="55">
        <f>SUMIFS('tuot-INFO'!X:X,'tuot-INFO'!$A:$A,'tuot-PVÄ'!B79)</f>
        <v>9.4899999999999949</v>
      </c>
    </row>
    <row r="80" spans="1:37" x14ac:dyDescent="0.25">
      <c r="A80" s="169">
        <f t="shared" si="34"/>
        <v>42566</v>
      </c>
      <c r="B80" s="23">
        <f>ROUNDUP((A80-Yleistiedot!$B$4)/7,0)</f>
        <v>28</v>
      </c>
      <c r="C80" s="16"/>
      <c r="D80" s="25"/>
      <c r="E80" s="25"/>
      <c r="F80" s="25"/>
      <c r="G80" s="25"/>
      <c r="H80" s="25"/>
      <c r="I80" s="65">
        <f t="shared" si="29"/>
        <v>0</v>
      </c>
      <c r="J80" s="26"/>
      <c r="K80" s="25"/>
      <c r="L80" s="16"/>
      <c r="M80" s="16"/>
      <c r="N80" s="25"/>
      <c r="O80" s="30"/>
      <c r="P80" s="252">
        <f t="shared" si="25"/>
        <v>9990</v>
      </c>
      <c r="Q80" s="253">
        <f t="shared" si="26"/>
        <v>0</v>
      </c>
      <c r="R80" s="253">
        <f t="shared" si="27"/>
        <v>0</v>
      </c>
      <c r="S80" s="251">
        <f>SUMIFS('tuot-rehukirjanpito'!D:D,'tuot-rehukirjanpito'!A:A,A80)</f>
        <v>0</v>
      </c>
      <c r="T80" s="254">
        <f t="shared" si="35"/>
        <v>1098.9000000000001</v>
      </c>
      <c r="U80" s="254">
        <f t="shared" si="21"/>
        <v>1098.8999999999999</v>
      </c>
      <c r="V80" s="252">
        <f t="shared" si="38"/>
        <v>-85714.199999999953</v>
      </c>
      <c r="W80" s="255">
        <f t="shared" si="28"/>
        <v>-77.999999999999972</v>
      </c>
      <c r="X80" s="256" t="str">
        <f t="shared" si="19"/>
        <v/>
      </c>
      <c r="Y80" s="256" t="str">
        <f t="shared" si="20"/>
        <v/>
      </c>
      <c r="Z80" s="224" t="str">
        <f>IF(IFERROR(INDEX('tuot-rehukirjanpito'!I:I,MATCH(A80,'tuot-rehukirjanpito'!G:G,0)),)=0,"",INDEX('tuot-rehukirjanpito'!I:I,MATCH(A80,'tuot-rehukirjanpito'!G:G,0)))</f>
        <v/>
      </c>
      <c r="AA80" s="224">
        <f>SUMIFS('tuot-INFO'!$K$10:$K$115,'tuot-INFO'!$A$10:$A$115,'tuot-PVÄ'!B80)</f>
        <v>59</v>
      </c>
      <c r="AB80" s="224">
        <f>SUMIFS('rehu-vesi-INFO'!$R:$R,'rehu-vesi-INFO'!$A:$A,'tuot-PVÄ'!B80)</f>
        <v>1620</v>
      </c>
      <c r="AC80" s="224">
        <f>SUMIFS('rehu-vesi-INFO'!$S:$S,'rehu-vesi-INFO'!$A:$A,'tuot-PVÄ'!B80)</f>
        <v>1720</v>
      </c>
      <c r="AD80" s="224">
        <f t="shared" si="30"/>
        <v>100</v>
      </c>
      <c r="AE80" s="224">
        <f t="shared" si="31"/>
        <v>0</v>
      </c>
      <c r="AF80" s="224">
        <f t="shared" si="32"/>
        <v>162</v>
      </c>
      <c r="AG80" s="224">
        <f t="shared" si="33"/>
        <v>10</v>
      </c>
      <c r="AH80" s="257">
        <f t="shared" si="36"/>
        <v>0</v>
      </c>
      <c r="AI80" s="258">
        <f t="shared" si="37"/>
        <v>0</v>
      </c>
      <c r="AJ80" s="55">
        <f>SUMIFS('tuot-INFO'!W:W,'tuot-INFO'!$A:$A,'tuot-PVÄ'!B80)</f>
        <v>88.257000000000005</v>
      </c>
      <c r="AK80" s="55">
        <f>SUMIFS('tuot-INFO'!X:X,'tuot-INFO'!$A:$A,'tuot-PVÄ'!B80)</f>
        <v>9.4899999999999949</v>
      </c>
    </row>
    <row r="81" spans="1:37" x14ac:dyDescent="0.25">
      <c r="A81" s="169">
        <f t="shared" si="34"/>
        <v>42567</v>
      </c>
      <c r="B81" s="23">
        <f>ROUNDUP((A81-Yleistiedot!$B$4)/7,0)</f>
        <v>29</v>
      </c>
      <c r="C81" s="16"/>
      <c r="D81" s="25"/>
      <c r="E81" s="25"/>
      <c r="F81" s="25"/>
      <c r="G81" s="25"/>
      <c r="H81" s="25"/>
      <c r="I81" s="65">
        <f t="shared" si="29"/>
        <v>0</v>
      </c>
      <c r="J81" s="26"/>
      <c r="K81" s="25"/>
      <c r="L81" s="16"/>
      <c r="M81" s="16"/>
      <c r="N81" s="25"/>
      <c r="O81" s="30"/>
      <c r="P81" s="252">
        <f t="shared" si="25"/>
        <v>9990</v>
      </c>
      <c r="Q81" s="253">
        <f t="shared" si="26"/>
        <v>0</v>
      </c>
      <c r="R81" s="253">
        <f t="shared" si="27"/>
        <v>0</v>
      </c>
      <c r="S81" s="251">
        <f>SUMIFS('tuot-rehukirjanpito'!D:D,'tuot-rehukirjanpito'!A:A,A81)</f>
        <v>0</v>
      </c>
      <c r="T81" s="254">
        <f t="shared" si="35"/>
        <v>1098.9000000000001</v>
      </c>
      <c r="U81" s="254">
        <f t="shared" si="21"/>
        <v>1098.8999999999999</v>
      </c>
      <c r="V81" s="252">
        <f t="shared" si="38"/>
        <v>-86813.099999999948</v>
      </c>
      <c r="W81" s="255">
        <f t="shared" si="28"/>
        <v>-78.999999999999957</v>
      </c>
      <c r="X81" s="256" t="str">
        <f t="shared" si="19"/>
        <v/>
      </c>
      <c r="Y81" s="256" t="str">
        <f t="shared" si="20"/>
        <v/>
      </c>
      <c r="Z81" s="224" t="str">
        <f>IF(IFERROR(INDEX('tuot-rehukirjanpito'!I:I,MATCH(A81,'tuot-rehukirjanpito'!G:G,0)),)=0,"",INDEX('tuot-rehukirjanpito'!I:I,MATCH(A81,'tuot-rehukirjanpito'!G:G,0)))</f>
        <v/>
      </c>
      <c r="AA81" s="224">
        <f>SUMIFS('tuot-INFO'!$K$10:$K$115,'tuot-INFO'!$A$10:$A$115,'tuot-PVÄ'!B81)</f>
        <v>59.6</v>
      </c>
      <c r="AB81" s="224">
        <f>SUMIFS('rehu-vesi-INFO'!$R:$R,'rehu-vesi-INFO'!$A:$A,'tuot-PVÄ'!B81)</f>
        <v>1639</v>
      </c>
      <c r="AC81" s="224">
        <f>SUMIFS('rehu-vesi-INFO'!$S:$S,'rehu-vesi-INFO'!$A:$A,'tuot-PVÄ'!B81)</f>
        <v>1741</v>
      </c>
      <c r="AD81" s="224">
        <f t="shared" si="30"/>
        <v>102</v>
      </c>
      <c r="AE81" s="224">
        <f t="shared" si="31"/>
        <v>0</v>
      </c>
      <c r="AF81" s="224">
        <f t="shared" si="32"/>
        <v>163.9</v>
      </c>
      <c r="AG81" s="224">
        <f t="shared" si="33"/>
        <v>10.199999999999999</v>
      </c>
      <c r="AH81" s="257">
        <f t="shared" si="36"/>
        <v>0</v>
      </c>
      <c r="AI81" s="258">
        <f t="shared" si="37"/>
        <v>0</v>
      </c>
      <c r="AJ81" s="55">
        <f>SUMIFS('tuot-INFO'!W:W,'tuot-INFO'!$A:$A,'tuot-PVÄ'!B81)</f>
        <v>88.628999999999991</v>
      </c>
      <c r="AK81" s="55">
        <f>SUMIFS('tuot-INFO'!X:X,'tuot-INFO'!$A:$A,'tuot-PVÄ'!B81)</f>
        <v>9.5300000000000011</v>
      </c>
    </row>
    <row r="82" spans="1:37" x14ac:dyDescent="0.25">
      <c r="A82" s="169">
        <f t="shared" si="34"/>
        <v>42568</v>
      </c>
      <c r="B82" s="23">
        <f>ROUNDUP((A82-Yleistiedot!$B$4)/7,0)</f>
        <v>29</v>
      </c>
      <c r="C82" s="16"/>
      <c r="D82" s="25"/>
      <c r="E82" s="25"/>
      <c r="F82" s="25"/>
      <c r="G82" s="25"/>
      <c r="H82" s="25"/>
      <c r="I82" s="65">
        <f t="shared" si="29"/>
        <v>0</v>
      </c>
      <c r="J82" s="26"/>
      <c r="K82" s="25"/>
      <c r="L82" s="16"/>
      <c r="M82" s="16"/>
      <c r="N82" s="25"/>
      <c r="O82" s="30"/>
      <c r="P82" s="252">
        <f t="shared" si="25"/>
        <v>9990</v>
      </c>
      <c r="Q82" s="253">
        <f t="shared" si="26"/>
        <v>0</v>
      </c>
      <c r="R82" s="253">
        <f t="shared" si="27"/>
        <v>0</v>
      </c>
      <c r="S82" s="251">
        <f>SUMIFS('tuot-rehukirjanpito'!D:D,'tuot-rehukirjanpito'!A:A,A82)</f>
        <v>0</v>
      </c>
      <c r="T82" s="254">
        <f t="shared" si="35"/>
        <v>1098.9000000000001</v>
      </c>
      <c r="U82" s="254">
        <f t="shared" si="21"/>
        <v>1098.8999999999999</v>
      </c>
      <c r="V82" s="252">
        <f t="shared" si="38"/>
        <v>-87911.999999999942</v>
      </c>
      <c r="W82" s="255">
        <f t="shared" si="28"/>
        <v>-79.999999999999957</v>
      </c>
      <c r="X82" s="256" t="str">
        <f t="shared" si="19"/>
        <v/>
      </c>
      <c r="Y82" s="256" t="str">
        <f t="shared" si="20"/>
        <v/>
      </c>
      <c r="Z82" s="224" t="str">
        <f>IF(IFERROR(INDEX('tuot-rehukirjanpito'!I:I,MATCH(A82,'tuot-rehukirjanpito'!G:G,0)),)=0,"",INDEX('tuot-rehukirjanpito'!I:I,MATCH(A82,'tuot-rehukirjanpito'!G:G,0)))</f>
        <v/>
      </c>
      <c r="AA82" s="224">
        <f>SUMIFS('tuot-INFO'!$K$10:$K$115,'tuot-INFO'!$A$10:$A$115,'tuot-PVÄ'!B82)</f>
        <v>59.6</v>
      </c>
      <c r="AB82" s="224">
        <f>SUMIFS('rehu-vesi-INFO'!$R:$R,'rehu-vesi-INFO'!$A:$A,'tuot-PVÄ'!B82)</f>
        <v>1639</v>
      </c>
      <c r="AC82" s="224">
        <f>SUMIFS('rehu-vesi-INFO'!$S:$S,'rehu-vesi-INFO'!$A:$A,'tuot-PVÄ'!B82)</f>
        <v>1741</v>
      </c>
      <c r="AD82" s="224">
        <f t="shared" si="30"/>
        <v>102</v>
      </c>
      <c r="AE82" s="224">
        <f t="shared" si="31"/>
        <v>0</v>
      </c>
      <c r="AF82" s="224">
        <f t="shared" si="32"/>
        <v>163.9</v>
      </c>
      <c r="AG82" s="224">
        <f t="shared" si="33"/>
        <v>10.199999999999999</v>
      </c>
      <c r="AH82" s="257">
        <f t="shared" si="36"/>
        <v>0</v>
      </c>
      <c r="AI82" s="258">
        <f t="shared" si="37"/>
        <v>0</v>
      </c>
      <c r="AJ82" s="55">
        <f>SUMIFS('tuot-INFO'!W:W,'tuot-INFO'!$A:$A,'tuot-PVÄ'!B82)</f>
        <v>88.628999999999991</v>
      </c>
      <c r="AK82" s="55">
        <f>SUMIFS('tuot-INFO'!X:X,'tuot-INFO'!$A:$A,'tuot-PVÄ'!B82)</f>
        <v>9.5300000000000011</v>
      </c>
    </row>
    <row r="83" spans="1:37" x14ac:dyDescent="0.25">
      <c r="A83" s="169">
        <f t="shared" si="34"/>
        <v>42569</v>
      </c>
      <c r="B83" s="23">
        <f>ROUNDUP((A83-Yleistiedot!$B$4)/7,0)</f>
        <v>29</v>
      </c>
      <c r="C83" s="16"/>
      <c r="D83" s="25"/>
      <c r="E83" s="25"/>
      <c r="F83" s="25"/>
      <c r="G83" s="25"/>
      <c r="H83" s="25"/>
      <c r="I83" s="65">
        <f t="shared" si="29"/>
        <v>0</v>
      </c>
      <c r="J83" s="26"/>
      <c r="K83" s="25"/>
      <c r="L83" s="16"/>
      <c r="M83" s="16"/>
      <c r="N83" s="25"/>
      <c r="O83" s="30"/>
      <c r="P83" s="252">
        <f t="shared" si="25"/>
        <v>9990</v>
      </c>
      <c r="Q83" s="253">
        <f t="shared" si="26"/>
        <v>0</v>
      </c>
      <c r="R83" s="253">
        <f t="shared" si="27"/>
        <v>0</v>
      </c>
      <c r="S83" s="251">
        <f>SUMIFS('tuot-rehukirjanpito'!D:D,'tuot-rehukirjanpito'!A:A,A83)</f>
        <v>0</v>
      </c>
      <c r="T83" s="254">
        <f t="shared" si="35"/>
        <v>1098.9000000000001</v>
      </c>
      <c r="U83" s="254">
        <f t="shared" si="21"/>
        <v>1098.8999999999999</v>
      </c>
      <c r="V83" s="252">
        <f t="shared" si="38"/>
        <v>-89010.899999999936</v>
      </c>
      <c r="W83" s="255">
        <f t="shared" si="28"/>
        <v>-80.999999999999957</v>
      </c>
      <c r="X83" s="256" t="str">
        <f t="shared" si="19"/>
        <v/>
      </c>
      <c r="Y83" s="256" t="str">
        <f t="shared" si="20"/>
        <v/>
      </c>
      <c r="Z83" s="224" t="str">
        <f>IF(IFERROR(INDEX('tuot-rehukirjanpito'!I:I,MATCH(A83,'tuot-rehukirjanpito'!G:G,0)),)=0,"",INDEX('tuot-rehukirjanpito'!I:I,MATCH(A83,'tuot-rehukirjanpito'!G:G,0)))</f>
        <v/>
      </c>
      <c r="AA83" s="224">
        <f>SUMIFS('tuot-INFO'!$K$10:$K$115,'tuot-INFO'!$A$10:$A$115,'tuot-PVÄ'!B83)</f>
        <v>59.6</v>
      </c>
      <c r="AB83" s="224">
        <f>SUMIFS('rehu-vesi-INFO'!$R:$R,'rehu-vesi-INFO'!$A:$A,'tuot-PVÄ'!B83)</f>
        <v>1639</v>
      </c>
      <c r="AC83" s="224">
        <f>SUMIFS('rehu-vesi-INFO'!$S:$S,'rehu-vesi-INFO'!$A:$A,'tuot-PVÄ'!B83)</f>
        <v>1741</v>
      </c>
      <c r="AD83" s="224">
        <f t="shared" si="30"/>
        <v>102</v>
      </c>
      <c r="AE83" s="224">
        <f t="shared" si="31"/>
        <v>0</v>
      </c>
      <c r="AF83" s="224">
        <f t="shared" si="32"/>
        <v>163.9</v>
      </c>
      <c r="AG83" s="224">
        <f t="shared" si="33"/>
        <v>10.199999999999999</v>
      </c>
      <c r="AH83" s="257">
        <f t="shared" si="36"/>
        <v>0</v>
      </c>
      <c r="AI83" s="258">
        <f t="shared" si="37"/>
        <v>0</v>
      </c>
      <c r="AJ83" s="55">
        <f>SUMIFS('tuot-INFO'!W:W,'tuot-INFO'!$A:$A,'tuot-PVÄ'!B83)</f>
        <v>88.628999999999991</v>
      </c>
      <c r="AK83" s="55">
        <f>SUMIFS('tuot-INFO'!X:X,'tuot-INFO'!$A:$A,'tuot-PVÄ'!B83)</f>
        <v>9.5300000000000011</v>
      </c>
    </row>
    <row r="84" spans="1:37" x14ac:dyDescent="0.25">
      <c r="A84" s="169">
        <f t="shared" si="34"/>
        <v>42570</v>
      </c>
      <c r="B84" s="23">
        <f>ROUNDUP((A84-Yleistiedot!$B$4)/7,0)</f>
        <v>29</v>
      </c>
      <c r="C84" s="16"/>
      <c r="D84" s="25"/>
      <c r="E84" s="25"/>
      <c r="F84" s="25"/>
      <c r="G84" s="25"/>
      <c r="H84" s="25"/>
      <c r="I84" s="65">
        <f t="shared" si="29"/>
        <v>0</v>
      </c>
      <c r="J84" s="26"/>
      <c r="K84" s="25"/>
      <c r="L84" s="16"/>
      <c r="M84" s="16"/>
      <c r="N84" s="25"/>
      <c r="O84" s="30"/>
      <c r="P84" s="252">
        <f t="shared" si="25"/>
        <v>9990</v>
      </c>
      <c r="Q84" s="253">
        <f t="shared" si="26"/>
        <v>0</v>
      </c>
      <c r="R84" s="253">
        <f t="shared" si="27"/>
        <v>0</v>
      </c>
      <c r="S84" s="251">
        <f>SUMIFS('tuot-rehukirjanpito'!D:D,'tuot-rehukirjanpito'!A:A,A84)</f>
        <v>0</v>
      </c>
      <c r="T84" s="254">
        <f t="shared" si="35"/>
        <v>1098.9000000000001</v>
      </c>
      <c r="U84" s="254">
        <f t="shared" si="21"/>
        <v>1098.8999999999999</v>
      </c>
      <c r="V84" s="252">
        <f t="shared" si="38"/>
        <v>-90109.79999999993</v>
      </c>
      <c r="W84" s="255">
        <f t="shared" si="28"/>
        <v>-81.999999999999943</v>
      </c>
      <c r="X84" s="256" t="str">
        <f t="shared" si="19"/>
        <v/>
      </c>
      <c r="Y84" s="256" t="str">
        <f t="shared" si="20"/>
        <v/>
      </c>
      <c r="Z84" s="224" t="str">
        <f>IF(IFERROR(INDEX('tuot-rehukirjanpito'!I:I,MATCH(A84,'tuot-rehukirjanpito'!G:G,0)),)=0,"",INDEX('tuot-rehukirjanpito'!I:I,MATCH(A84,'tuot-rehukirjanpito'!G:G,0)))</f>
        <v/>
      </c>
      <c r="AA84" s="224">
        <f>SUMIFS('tuot-INFO'!$K$10:$K$115,'tuot-INFO'!$A$10:$A$115,'tuot-PVÄ'!B84)</f>
        <v>59.6</v>
      </c>
      <c r="AB84" s="224">
        <f>SUMIFS('rehu-vesi-INFO'!$R:$R,'rehu-vesi-INFO'!$A:$A,'tuot-PVÄ'!B84)</f>
        <v>1639</v>
      </c>
      <c r="AC84" s="224">
        <f>SUMIFS('rehu-vesi-INFO'!$S:$S,'rehu-vesi-INFO'!$A:$A,'tuot-PVÄ'!B84)</f>
        <v>1741</v>
      </c>
      <c r="AD84" s="224">
        <f t="shared" si="30"/>
        <v>102</v>
      </c>
      <c r="AE84" s="224">
        <f t="shared" si="31"/>
        <v>0</v>
      </c>
      <c r="AF84" s="224">
        <f t="shared" si="32"/>
        <v>163.9</v>
      </c>
      <c r="AG84" s="224">
        <f t="shared" si="33"/>
        <v>10.199999999999999</v>
      </c>
      <c r="AH84" s="257">
        <f t="shared" si="36"/>
        <v>0</v>
      </c>
      <c r="AI84" s="258">
        <f t="shared" si="37"/>
        <v>0</v>
      </c>
      <c r="AJ84" s="55">
        <f>SUMIFS('tuot-INFO'!W:W,'tuot-INFO'!$A:$A,'tuot-PVÄ'!B84)</f>
        <v>88.628999999999991</v>
      </c>
      <c r="AK84" s="55">
        <f>SUMIFS('tuot-INFO'!X:X,'tuot-INFO'!$A:$A,'tuot-PVÄ'!B84)</f>
        <v>9.5300000000000011</v>
      </c>
    </row>
    <row r="85" spans="1:37" x14ac:dyDescent="0.25">
      <c r="A85" s="169">
        <f t="shared" si="34"/>
        <v>42571</v>
      </c>
      <c r="B85" s="23">
        <f>ROUNDUP((A85-Yleistiedot!$B$4)/7,0)</f>
        <v>29</v>
      </c>
      <c r="C85" s="16"/>
      <c r="D85" s="25"/>
      <c r="E85" s="25"/>
      <c r="F85" s="25"/>
      <c r="G85" s="25"/>
      <c r="H85" s="25"/>
      <c r="I85" s="65">
        <f t="shared" si="29"/>
        <v>0</v>
      </c>
      <c r="J85" s="26"/>
      <c r="K85" s="25"/>
      <c r="L85" s="16"/>
      <c r="M85" s="16"/>
      <c r="N85" s="25"/>
      <c r="O85" s="176"/>
      <c r="P85" s="252">
        <f t="shared" si="25"/>
        <v>9990</v>
      </c>
      <c r="Q85" s="253">
        <f t="shared" si="26"/>
        <v>0</v>
      </c>
      <c r="R85" s="253">
        <f t="shared" si="27"/>
        <v>0</v>
      </c>
      <c r="S85" s="251">
        <f>SUMIFS('tuot-rehukirjanpito'!D:D,'tuot-rehukirjanpito'!A:A,A85)</f>
        <v>0</v>
      </c>
      <c r="T85" s="254">
        <f t="shared" si="35"/>
        <v>1098.9000000000001</v>
      </c>
      <c r="U85" s="254">
        <f t="shared" si="21"/>
        <v>1098.8999999999999</v>
      </c>
      <c r="V85" s="252">
        <f t="shared" si="38"/>
        <v>-91208.699999999924</v>
      </c>
      <c r="W85" s="255">
        <f t="shared" si="28"/>
        <v>-82.999999999999943</v>
      </c>
      <c r="X85" s="256" t="str">
        <f t="shared" si="19"/>
        <v/>
      </c>
      <c r="Y85" s="256" t="str">
        <f t="shared" si="20"/>
        <v/>
      </c>
      <c r="Z85" s="224" t="str">
        <f>IF(IFERROR(INDEX('tuot-rehukirjanpito'!I:I,MATCH(A85,'tuot-rehukirjanpito'!G:G,0)),)=0,"",INDEX('tuot-rehukirjanpito'!I:I,MATCH(A85,'tuot-rehukirjanpito'!G:G,0)))</f>
        <v/>
      </c>
      <c r="AA85" s="224">
        <f>SUMIFS('tuot-INFO'!$K$10:$K$115,'tuot-INFO'!$A$10:$A$115,'tuot-PVÄ'!B85)</f>
        <v>59.6</v>
      </c>
      <c r="AB85" s="224">
        <f>SUMIFS('rehu-vesi-INFO'!$R:$R,'rehu-vesi-INFO'!$A:$A,'tuot-PVÄ'!B85)</f>
        <v>1639</v>
      </c>
      <c r="AC85" s="224">
        <f>SUMIFS('rehu-vesi-INFO'!$S:$S,'rehu-vesi-INFO'!$A:$A,'tuot-PVÄ'!B85)</f>
        <v>1741</v>
      </c>
      <c r="AD85" s="224">
        <f t="shared" si="30"/>
        <v>102</v>
      </c>
      <c r="AE85" s="224">
        <f t="shared" si="31"/>
        <v>0</v>
      </c>
      <c r="AF85" s="224">
        <f t="shared" si="32"/>
        <v>163.9</v>
      </c>
      <c r="AG85" s="224">
        <f t="shared" si="33"/>
        <v>10.199999999999999</v>
      </c>
      <c r="AH85" s="257">
        <f t="shared" si="36"/>
        <v>0</v>
      </c>
      <c r="AI85" s="258">
        <f t="shared" si="37"/>
        <v>0</v>
      </c>
      <c r="AJ85" s="55">
        <f>SUMIFS('tuot-INFO'!W:W,'tuot-INFO'!$A:$A,'tuot-PVÄ'!B85)</f>
        <v>88.628999999999991</v>
      </c>
      <c r="AK85" s="55">
        <f>SUMIFS('tuot-INFO'!X:X,'tuot-INFO'!$A:$A,'tuot-PVÄ'!B85)</f>
        <v>9.5300000000000011</v>
      </c>
    </row>
    <row r="86" spans="1:37" x14ac:dyDescent="0.25">
      <c r="A86" s="169">
        <f t="shared" si="34"/>
        <v>42572</v>
      </c>
      <c r="B86" s="23">
        <f>ROUNDUP((A86-Yleistiedot!$B$4)/7,0)</f>
        <v>29</v>
      </c>
      <c r="C86" s="16"/>
      <c r="D86" s="25"/>
      <c r="E86" s="25"/>
      <c r="F86" s="25"/>
      <c r="G86" s="25"/>
      <c r="H86" s="25"/>
      <c r="I86" s="65">
        <f t="shared" si="29"/>
        <v>0</v>
      </c>
      <c r="J86" s="26"/>
      <c r="K86" s="25"/>
      <c r="L86" s="16"/>
      <c r="M86" s="16"/>
      <c r="N86" s="25"/>
      <c r="O86" s="30"/>
      <c r="P86" s="252">
        <f t="shared" si="25"/>
        <v>9990</v>
      </c>
      <c r="Q86" s="253">
        <f t="shared" si="26"/>
        <v>0</v>
      </c>
      <c r="R86" s="253">
        <f t="shared" si="27"/>
        <v>0</v>
      </c>
      <c r="S86" s="251">
        <f>SUMIFS('tuot-rehukirjanpito'!D:D,'tuot-rehukirjanpito'!A:A,A86)</f>
        <v>0</v>
      </c>
      <c r="T86" s="254">
        <f t="shared" si="35"/>
        <v>1098.9000000000001</v>
      </c>
      <c r="U86" s="254">
        <f t="shared" si="21"/>
        <v>1098.8999999999999</v>
      </c>
      <c r="V86" s="252">
        <f t="shared" si="38"/>
        <v>-92307.599999999919</v>
      </c>
      <c r="W86" s="255">
        <f t="shared" si="28"/>
        <v>-83.999999999999943</v>
      </c>
      <c r="X86" s="256" t="str">
        <f t="shared" si="19"/>
        <v/>
      </c>
      <c r="Y86" s="256" t="str">
        <f t="shared" si="20"/>
        <v/>
      </c>
      <c r="Z86" s="224" t="str">
        <f>IF(IFERROR(INDEX('tuot-rehukirjanpito'!I:I,MATCH(A86,'tuot-rehukirjanpito'!G:G,0)),)=0,"",INDEX('tuot-rehukirjanpito'!I:I,MATCH(A86,'tuot-rehukirjanpito'!G:G,0)))</f>
        <v/>
      </c>
      <c r="AA86" s="224">
        <f>SUMIFS('tuot-INFO'!$K$10:$K$115,'tuot-INFO'!$A$10:$A$115,'tuot-PVÄ'!B86)</f>
        <v>59.6</v>
      </c>
      <c r="AB86" s="224">
        <f>SUMIFS('rehu-vesi-INFO'!$R:$R,'rehu-vesi-INFO'!$A:$A,'tuot-PVÄ'!B86)</f>
        <v>1639</v>
      </c>
      <c r="AC86" s="224">
        <f>SUMIFS('rehu-vesi-INFO'!$S:$S,'rehu-vesi-INFO'!$A:$A,'tuot-PVÄ'!B86)</f>
        <v>1741</v>
      </c>
      <c r="AD86" s="224">
        <f t="shared" si="30"/>
        <v>102</v>
      </c>
      <c r="AE86" s="224">
        <f t="shared" si="31"/>
        <v>0</v>
      </c>
      <c r="AF86" s="224">
        <f t="shared" si="32"/>
        <v>163.9</v>
      </c>
      <c r="AG86" s="224">
        <f t="shared" si="33"/>
        <v>10.199999999999999</v>
      </c>
      <c r="AH86" s="257">
        <f t="shared" si="36"/>
        <v>0</v>
      </c>
      <c r="AI86" s="258">
        <f t="shared" si="37"/>
        <v>0</v>
      </c>
      <c r="AJ86" s="55">
        <f>SUMIFS('tuot-INFO'!W:W,'tuot-INFO'!$A:$A,'tuot-PVÄ'!B86)</f>
        <v>88.628999999999991</v>
      </c>
      <c r="AK86" s="55">
        <f>SUMIFS('tuot-INFO'!X:X,'tuot-INFO'!$A:$A,'tuot-PVÄ'!B86)</f>
        <v>9.5300000000000011</v>
      </c>
    </row>
    <row r="87" spans="1:37" x14ac:dyDescent="0.25">
      <c r="A87" s="169">
        <f t="shared" si="34"/>
        <v>42573</v>
      </c>
      <c r="B87" s="23">
        <f>ROUNDUP((A87-Yleistiedot!$B$4)/7,0)</f>
        <v>29</v>
      </c>
      <c r="C87" s="16"/>
      <c r="D87" s="25"/>
      <c r="E87" s="25"/>
      <c r="F87" s="25"/>
      <c r="G87" s="25"/>
      <c r="H87" s="25"/>
      <c r="I87" s="65">
        <f t="shared" si="29"/>
        <v>0</v>
      </c>
      <c r="J87" s="26"/>
      <c r="K87" s="25"/>
      <c r="L87" s="16"/>
      <c r="M87" s="16"/>
      <c r="N87" s="25"/>
      <c r="O87" s="30"/>
      <c r="P87" s="252">
        <f t="shared" si="25"/>
        <v>9990</v>
      </c>
      <c r="Q87" s="253">
        <f t="shared" si="26"/>
        <v>0</v>
      </c>
      <c r="R87" s="253">
        <f t="shared" si="27"/>
        <v>0</v>
      </c>
      <c r="S87" s="251">
        <f>SUMIFS('tuot-rehukirjanpito'!D:D,'tuot-rehukirjanpito'!A:A,A87)</f>
        <v>0</v>
      </c>
      <c r="T87" s="254">
        <f t="shared" si="35"/>
        <v>1098.9000000000001</v>
      </c>
      <c r="U87" s="254">
        <f t="shared" si="21"/>
        <v>1098.8999999999999</v>
      </c>
      <c r="V87" s="252">
        <f t="shared" si="38"/>
        <v>-93406.499999999913</v>
      </c>
      <c r="W87" s="255">
        <f t="shared" si="28"/>
        <v>-84.999999999999929</v>
      </c>
      <c r="X87" s="256" t="str">
        <f t="shared" ref="X87:X150" si="39">IF(S87&lt;&gt;0,ROUND(A87+W86,0),"")</f>
        <v/>
      </c>
      <c r="Y87" s="256" t="str">
        <f t="shared" ref="Y87:Y150" si="40">IF(S87&lt;&gt;0,ROUND(A87+W87,0),"")</f>
        <v/>
      </c>
      <c r="Z87" s="224" t="str">
        <f>IF(IFERROR(INDEX('tuot-rehukirjanpito'!I:I,MATCH(A87,'tuot-rehukirjanpito'!G:G,0)),)=0,"",INDEX('tuot-rehukirjanpito'!I:I,MATCH(A87,'tuot-rehukirjanpito'!G:G,0)))</f>
        <v/>
      </c>
      <c r="AA87" s="224">
        <f>SUMIFS('tuot-INFO'!$K$10:$K$115,'tuot-INFO'!$A$10:$A$115,'tuot-PVÄ'!B87)</f>
        <v>59.6</v>
      </c>
      <c r="AB87" s="224">
        <f>SUMIFS('rehu-vesi-INFO'!$R:$R,'rehu-vesi-INFO'!$A:$A,'tuot-PVÄ'!B87)</f>
        <v>1639</v>
      </c>
      <c r="AC87" s="224">
        <f>SUMIFS('rehu-vesi-INFO'!$S:$S,'rehu-vesi-INFO'!$A:$A,'tuot-PVÄ'!B87)</f>
        <v>1741</v>
      </c>
      <c r="AD87" s="224">
        <f t="shared" si="30"/>
        <v>102</v>
      </c>
      <c r="AE87" s="224">
        <f t="shared" si="31"/>
        <v>0</v>
      </c>
      <c r="AF87" s="224">
        <f t="shared" si="32"/>
        <v>163.9</v>
      </c>
      <c r="AG87" s="224">
        <f t="shared" si="33"/>
        <v>10.199999999999999</v>
      </c>
      <c r="AH87" s="257">
        <f t="shared" si="36"/>
        <v>0</v>
      </c>
      <c r="AI87" s="258">
        <f t="shared" si="37"/>
        <v>0</v>
      </c>
      <c r="AJ87" s="55">
        <f>SUMIFS('tuot-INFO'!W:W,'tuot-INFO'!$A:$A,'tuot-PVÄ'!B87)</f>
        <v>88.628999999999991</v>
      </c>
      <c r="AK87" s="55">
        <f>SUMIFS('tuot-INFO'!X:X,'tuot-INFO'!$A:$A,'tuot-PVÄ'!B87)</f>
        <v>9.5300000000000011</v>
      </c>
    </row>
    <row r="88" spans="1:37" x14ac:dyDescent="0.25">
      <c r="A88" s="169">
        <f t="shared" si="34"/>
        <v>42574</v>
      </c>
      <c r="B88" s="23">
        <f>ROUNDUP((A88-Yleistiedot!$B$4)/7,0)</f>
        <v>30</v>
      </c>
      <c r="C88" s="16"/>
      <c r="D88" s="25"/>
      <c r="E88" s="25"/>
      <c r="F88" s="25"/>
      <c r="G88" s="25"/>
      <c r="H88" s="25"/>
      <c r="I88" s="65">
        <f t="shared" si="29"/>
        <v>0</v>
      </c>
      <c r="J88" s="26"/>
      <c r="K88" s="25"/>
      <c r="L88" s="16"/>
      <c r="M88" s="16"/>
      <c r="N88" s="25"/>
      <c r="O88" s="30"/>
      <c r="P88" s="252">
        <f t="shared" si="25"/>
        <v>9990</v>
      </c>
      <c r="Q88" s="253">
        <f t="shared" si="26"/>
        <v>0</v>
      </c>
      <c r="R88" s="253">
        <f t="shared" si="27"/>
        <v>0</v>
      </c>
      <c r="S88" s="251">
        <f>SUMIFS('tuot-rehukirjanpito'!D:D,'tuot-rehukirjanpito'!A:A,A88)</f>
        <v>0</v>
      </c>
      <c r="T88" s="254">
        <f t="shared" si="35"/>
        <v>1098.9000000000001</v>
      </c>
      <c r="U88" s="254">
        <f t="shared" si="21"/>
        <v>1098.8999999999999</v>
      </c>
      <c r="V88" s="252">
        <f t="shared" si="38"/>
        <v>-94505.399999999907</v>
      </c>
      <c r="W88" s="255">
        <f t="shared" si="28"/>
        <v>-85.999999999999929</v>
      </c>
      <c r="X88" s="256" t="str">
        <f t="shared" si="39"/>
        <v/>
      </c>
      <c r="Y88" s="256" t="str">
        <f t="shared" si="40"/>
        <v/>
      </c>
      <c r="Z88" s="224" t="str">
        <f>IF(IFERROR(INDEX('tuot-rehukirjanpito'!I:I,MATCH(A88,'tuot-rehukirjanpito'!G:G,0)),)=0,"",INDEX('tuot-rehukirjanpito'!I:I,MATCH(A88,'tuot-rehukirjanpito'!G:G,0)))</f>
        <v/>
      </c>
      <c r="AA88" s="224">
        <f>SUMIFS('tuot-INFO'!$K$10:$K$115,'tuot-INFO'!$A$10:$A$115,'tuot-PVÄ'!B88)</f>
        <v>60.1</v>
      </c>
      <c r="AB88" s="224">
        <f>SUMIFS('rehu-vesi-INFO'!$R:$R,'rehu-vesi-INFO'!$A:$A,'tuot-PVÄ'!B88)</f>
        <v>1649</v>
      </c>
      <c r="AC88" s="224">
        <f>SUMIFS('rehu-vesi-INFO'!$S:$S,'rehu-vesi-INFO'!$A:$A,'tuot-PVÄ'!B88)</f>
        <v>1751</v>
      </c>
      <c r="AD88" s="224">
        <f t="shared" si="30"/>
        <v>102</v>
      </c>
      <c r="AE88" s="224">
        <f t="shared" si="31"/>
        <v>0</v>
      </c>
      <c r="AF88" s="224">
        <f t="shared" si="32"/>
        <v>164.9</v>
      </c>
      <c r="AG88" s="224">
        <f t="shared" si="33"/>
        <v>10.199999999999999</v>
      </c>
      <c r="AH88" s="257">
        <f t="shared" si="36"/>
        <v>0</v>
      </c>
      <c r="AI88" s="258">
        <f t="shared" si="37"/>
        <v>0</v>
      </c>
      <c r="AJ88" s="55">
        <f>SUMIFS('tuot-INFO'!W:W,'tuot-INFO'!$A:$A,'tuot-PVÄ'!B88)</f>
        <v>88.907999999999987</v>
      </c>
      <c r="AK88" s="55">
        <f>SUMIFS('tuot-INFO'!X:X,'tuot-INFO'!$A:$A,'tuot-PVÄ'!B88)</f>
        <v>9.5600000000000023</v>
      </c>
    </row>
    <row r="89" spans="1:37" x14ac:dyDescent="0.25">
      <c r="A89" s="169">
        <f t="shared" si="34"/>
        <v>42575</v>
      </c>
      <c r="B89" s="23">
        <f>ROUNDUP((A89-Yleistiedot!$B$4)/7,0)</f>
        <v>30</v>
      </c>
      <c r="C89" s="16"/>
      <c r="D89" s="25"/>
      <c r="E89" s="25"/>
      <c r="F89" s="25"/>
      <c r="G89" s="25"/>
      <c r="H89" s="25"/>
      <c r="I89" s="65">
        <f t="shared" si="29"/>
        <v>0</v>
      </c>
      <c r="J89" s="26"/>
      <c r="K89" s="25"/>
      <c r="L89" s="16"/>
      <c r="M89" s="16"/>
      <c r="N89" s="25"/>
      <c r="O89" s="30"/>
      <c r="P89" s="252">
        <f t="shared" si="25"/>
        <v>9990</v>
      </c>
      <c r="Q89" s="253">
        <f t="shared" si="26"/>
        <v>0</v>
      </c>
      <c r="R89" s="253">
        <f t="shared" si="27"/>
        <v>0</v>
      </c>
      <c r="S89" s="251">
        <f>SUMIFS('tuot-rehukirjanpito'!D:D,'tuot-rehukirjanpito'!A:A,A89)</f>
        <v>0</v>
      </c>
      <c r="T89" s="254">
        <f t="shared" si="35"/>
        <v>1098.9000000000001</v>
      </c>
      <c r="U89" s="254">
        <f t="shared" ref="U89:U152" si="41">IFERROR(AVERAGEIF(T83:T89,"&lt;&gt;0"),0)</f>
        <v>1098.8999999999999</v>
      </c>
      <c r="V89" s="252">
        <f t="shared" si="38"/>
        <v>-95604.299999999901</v>
      </c>
      <c r="W89" s="255">
        <f t="shared" si="28"/>
        <v>-86.999999999999915</v>
      </c>
      <c r="X89" s="256" t="str">
        <f t="shared" si="39"/>
        <v/>
      </c>
      <c r="Y89" s="256" t="str">
        <f t="shared" si="40"/>
        <v/>
      </c>
      <c r="Z89" s="224" t="str">
        <f>IF(IFERROR(INDEX('tuot-rehukirjanpito'!I:I,MATCH(A89,'tuot-rehukirjanpito'!G:G,0)),)=0,"",INDEX('tuot-rehukirjanpito'!I:I,MATCH(A89,'tuot-rehukirjanpito'!G:G,0)))</f>
        <v/>
      </c>
      <c r="AA89" s="224">
        <f>SUMIFS('tuot-INFO'!$K$10:$K$115,'tuot-INFO'!$A$10:$A$115,'tuot-PVÄ'!B89)</f>
        <v>60.1</v>
      </c>
      <c r="AB89" s="224">
        <f>SUMIFS('rehu-vesi-INFO'!$R:$R,'rehu-vesi-INFO'!$A:$A,'tuot-PVÄ'!B89)</f>
        <v>1649</v>
      </c>
      <c r="AC89" s="224">
        <f>SUMIFS('rehu-vesi-INFO'!$S:$S,'rehu-vesi-INFO'!$A:$A,'tuot-PVÄ'!B89)</f>
        <v>1751</v>
      </c>
      <c r="AD89" s="224">
        <f t="shared" si="30"/>
        <v>102</v>
      </c>
      <c r="AE89" s="224">
        <f t="shared" si="31"/>
        <v>0</v>
      </c>
      <c r="AF89" s="224">
        <f t="shared" si="32"/>
        <v>164.9</v>
      </c>
      <c r="AG89" s="224">
        <f t="shared" si="33"/>
        <v>10.199999999999999</v>
      </c>
      <c r="AH89" s="257">
        <f t="shared" si="36"/>
        <v>0</v>
      </c>
      <c r="AI89" s="258">
        <f t="shared" si="37"/>
        <v>0</v>
      </c>
      <c r="AJ89" s="55">
        <f>SUMIFS('tuot-INFO'!W:W,'tuot-INFO'!$A:$A,'tuot-PVÄ'!B89)</f>
        <v>88.907999999999987</v>
      </c>
      <c r="AK89" s="55">
        <f>SUMIFS('tuot-INFO'!X:X,'tuot-INFO'!$A:$A,'tuot-PVÄ'!B89)</f>
        <v>9.5600000000000023</v>
      </c>
    </row>
    <row r="90" spans="1:37" x14ac:dyDescent="0.25">
      <c r="A90" s="169">
        <f t="shared" si="34"/>
        <v>42576</v>
      </c>
      <c r="B90" s="23">
        <f>ROUNDUP((A90-Yleistiedot!$B$4)/7,0)</f>
        <v>30</v>
      </c>
      <c r="C90" s="16"/>
      <c r="D90" s="25"/>
      <c r="E90" s="25"/>
      <c r="F90" s="25"/>
      <c r="G90" s="25"/>
      <c r="H90" s="25"/>
      <c r="I90" s="65">
        <f t="shared" si="29"/>
        <v>0</v>
      </c>
      <c r="J90" s="26"/>
      <c r="K90" s="25"/>
      <c r="L90" s="16"/>
      <c r="M90" s="16"/>
      <c r="N90" s="25"/>
      <c r="O90" s="30"/>
      <c r="P90" s="252">
        <f t="shared" si="25"/>
        <v>9990</v>
      </c>
      <c r="Q90" s="253">
        <f t="shared" si="26"/>
        <v>0</v>
      </c>
      <c r="R90" s="253">
        <f t="shared" si="27"/>
        <v>0</v>
      </c>
      <c r="S90" s="251">
        <f>SUMIFS('tuot-rehukirjanpito'!D:D,'tuot-rehukirjanpito'!A:A,A90)</f>
        <v>0</v>
      </c>
      <c r="T90" s="254">
        <f t="shared" si="35"/>
        <v>1098.9000000000001</v>
      </c>
      <c r="U90" s="254">
        <f t="shared" si="41"/>
        <v>1098.8999999999999</v>
      </c>
      <c r="V90" s="252">
        <f t="shared" si="38"/>
        <v>-96703.199999999895</v>
      </c>
      <c r="W90" s="255">
        <f t="shared" si="28"/>
        <v>-87.999999999999915</v>
      </c>
      <c r="X90" s="256" t="str">
        <f t="shared" si="39"/>
        <v/>
      </c>
      <c r="Y90" s="256" t="str">
        <f t="shared" si="40"/>
        <v/>
      </c>
      <c r="Z90" s="224" t="str">
        <f>IF(IFERROR(INDEX('tuot-rehukirjanpito'!I:I,MATCH(A90,'tuot-rehukirjanpito'!G:G,0)),)=0,"",INDEX('tuot-rehukirjanpito'!I:I,MATCH(A90,'tuot-rehukirjanpito'!G:G,0)))</f>
        <v/>
      </c>
      <c r="AA90" s="224">
        <f>SUMIFS('tuot-INFO'!$K$10:$K$115,'tuot-INFO'!$A$10:$A$115,'tuot-PVÄ'!B90)</f>
        <v>60.1</v>
      </c>
      <c r="AB90" s="224">
        <f>SUMIFS('rehu-vesi-INFO'!$R:$R,'rehu-vesi-INFO'!$A:$A,'tuot-PVÄ'!B90)</f>
        <v>1649</v>
      </c>
      <c r="AC90" s="224">
        <f>SUMIFS('rehu-vesi-INFO'!$S:$S,'rehu-vesi-INFO'!$A:$A,'tuot-PVÄ'!B90)</f>
        <v>1751</v>
      </c>
      <c r="AD90" s="224">
        <f t="shared" si="30"/>
        <v>102</v>
      </c>
      <c r="AE90" s="224">
        <f t="shared" si="31"/>
        <v>0</v>
      </c>
      <c r="AF90" s="224">
        <f t="shared" si="32"/>
        <v>164.9</v>
      </c>
      <c r="AG90" s="224">
        <f t="shared" si="33"/>
        <v>10.199999999999999</v>
      </c>
      <c r="AH90" s="257">
        <f t="shared" si="36"/>
        <v>0</v>
      </c>
      <c r="AI90" s="258">
        <f t="shared" si="37"/>
        <v>0</v>
      </c>
      <c r="AJ90" s="55">
        <f>SUMIFS('tuot-INFO'!W:W,'tuot-INFO'!$A:$A,'tuot-PVÄ'!B90)</f>
        <v>88.907999999999987</v>
      </c>
      <c r="AK90" s="55">
        <f>SUMIFS('tuot-INFO'!X:X,'tuot-INFO'!$A:$A,'tuot-PVÄ'!B90)</f>
        <v>9.5600000000000023</v>
      </c>
    </row>
    <row r="91" spans="1:37" x14ac:dyDescent="0.25">
      <c r="A91" s="169">
        <f t="shared" si="34"/>
        <v>42577</v>
      </c>
      <c r="B91" s="23">
        <f>ROUNDUP((A91-Yleistiedot!$B$4)/7,0)</f>
        <v>30</v>
      </c>
      <c r="C91" s="16"/>
      <c r="D91" s="25"/>
      <c r="E91" s="25"/>
      <c r="F91" s="25"/>
      <c r="G91" s="25"/>
      <c r="H91" s="25"/>
      <c r="I91" s="65">
        <f t="shared" si="29"/>
        <v>0</v>
      </c>
      <c r="J91" s="26"/>
      <c r="K91" s="25"/>
      <c r="L91" s="16"/>
      <c r="M91" s="16"/>
      <c r="N91" s="25"/>
      <c r="O91" s="30"/>
      <c r="P91" s="252">
        <f t="shared" si="25"/>
        <v>9990</v>
      </c>
      <c r="Q91" s="253">
        <f t="shared" si="26"/>
        <v>0</v>
      </c>
      <c r="R91" s="253">
        <f t="shared" si="27"/>
        <v>0</v>
      </c>
      <c r="S91" s="251">
        <f>SUMIFS('tuot-rehukirjanpito'!D:D,'tuot-rehukirjanpito'!A:A,A91)</f>
        <v>0</v>
      </c>
      <c r="T91" s="254">
        <f t="shared" si="35"/>
        <v>1098.9000000000001</v>
      </c>
      <c r="U91" s="254">
        <f t="shared" si="41"/>
        <v>1098.8999999999999</v>
      </c>
      <c r="V91" s="252">
        <f t="shared" si="38"/>
        <v>-97802.099999999889</v>
      </c>
      <c r="W91" s="255">
        <f t="shared" si="28"/>
        <v>-88.999999999999915</v>
      </c>
      <c r="X91" s="256" t="str">
        <f t="shared" si="39"/>
        <v/>
      </c>
      <c r="Y91" s="256" t="str">
        <f t="shared" si="40"/>
        <v/>
      </c>
      <c r="Z91" s="224" t="str">
        <f>IF(IFERROR(INDEX('tuot-rehukirjanpito'!I:I,MATCH(A91,'tuot-rehukirjanpito'!G:G,0)),)=0,"",INDEX('tuot-rehukirjanpito'!I:I,MATCH(A91,'tuot-rehukirjanpito'!G:G,0)))</f>
        <v/>
      </c>
      <c r="AA91" s="224">
        <f>SUMIFS('tuot-INFO'!$K$10:$K$115,'tuot-INFO'!$A$10:$A$115,'tuot-PVÄ'!B91)</f>
        <v>60.1</v>
      </c>
      <c r="AB91" s="224">
        <f>SUMIFS('rehu-vesi-INFO'!$R:$R,'rehu-vesi-INFO'!$A:$A,'tuot-PVÄ'!B91)</f>
        <v>1649</v>
      </c>
      <c r="AC91" s="224">
        <f>SUMIFS('rehu-vesi-INFO'!$S:$S,'rehu-vesi-INFO'!$A:$A,'tuot-PVÄ'!B91)</f>
        <v>1751</v>
      </c>
      <c r="AD91" s="224">
        <f t="shared" si="30"/>
        <v>102</v>
      </c>
      <c r="AE91" s="224">
        <f t="shared" si="31"/>
        <v>0</v>
      </c>
      <c r="AF91" s="224">
        <f t="shared" si="32"/>
        <v>164.9</v>
      </c>
      <c r="AG91" s="224">
        <f t="shared" si="33"/>
        <v>10.199999999999999</v>
      </c>
      <c r="AH91" s="257">
        <f t="shared" si="36"/>
        <v>0</v>
      </c>
      <c r="AI91" s="258">
        <f t="shared" si="37"/>
        <v>0</v>
      </c>
      <c r="AJ91" s="55">
        <f>SUMIFS('tuot-INFO'!W:W,'tuot-INFO'!$A:$A,'tuot-PVÄ'!B91)</f>
        <v>88.907999999999987</v>
      </c>
      <c r="AK91" s="55">
        <f>SUMIFS('tuot-INFO'!X:X,'tuot-INFO'!$A:$A,'tuot-PVÄ'!B91)</f>
        <v>9.5600000000000023</v>
      </c>
    </row>
    <row r="92" spans="1:37" x14ac:dyDescent="0.25">
      <c r="A92" s="169">
        <f t="shared" si="34"/>
        <v>42578</v>
      </c>
      <c r="B92" s="23">
        <f>ROUNDUP((A92-Yleistiedot!$B$4)/7,0)</f>
        <v>30</v>
      </c>
      <c r="C92" s="16"/>
      <c r="D92" s="25"/>
      <c r="E92" s="25"/>
      <c r="F92" s="25"/>
      <c r="G92" s="25"/>
      <c r="H92" s="25"/>
      <c r="I92" s="65">
        <f t="shared" si="29"/>
        <v>0</v>
      </c>
      <c r="J92" s="26"/>
      <c r="K92" s="25"/>
      <c r="L92" s="16"/>
      <c r="M92" s="16"/>
      <c r="N92" s="25"/>
      <c r="O92" s="176"/>
      <c r="P92" s="252">
        <f t="shared" si="25"/>
        <v>9990</v>
      </c>
      <c r="Q92" s="253">
        <f t="shared" si="26"/>
        <v>0</v>
      </c>
      <c r="R92" s="253">
        <f t="shared" si="27"/>
        <v>0</v>
      </c>
      <c r="S92" s="251">
        <f>SUMIFS('tuot-rehukirjanpito'!D:D,'tuot-rehukirjanpito'!A:A,A92)</f>
        <v>0</v>
      </c>
      <c r="T92" s="254">
        <f t="shared" si="35"/>
        <v>1098.9000000000001</v>
      </c>
      <c r="U92" s="254">
        <f t="shared" si="41"/>
        <v>1098.8999999999999</v>
      </c>
      <c r="V92" s="252">
        <f t="shared" si="38"/>
        <v>-98900.999999999884</v>
      </c>
      <c r="W92" s="255">
        <f t="shared" si="28"/>
        <v>-89.999999999999901</v>
      </c>
      <c r="X92" s="256" t="str">
        <f t="shared" si="39"/>
        <v/>
      </c>
      <c r="Y92" s="256" t="str">
        <f t="shared" si="40"/>
        <v/>
      </c>
      <c r="Z92" s="224" t="str">
        <f>IF(IFERROR(INDEX('tuot-rehukirjanpito'!I:I,MATCH(A92,'tuot-rehukirjanpito'!G:G,0)),)=0,"",INDEX('tuot-rehukirjanpito'!I:I,MATCH(A92,'tuot-rehukirjanpito'!G:G,0)))</f>
        <v/>
      </c>
      <c r="AA92" s="224">
        <f>SUMIFS('tuot-INFO'!$K$10:$K$115,'tuot-INFO'!$A$10:$A$115,'tuot-PVÄ'!B92)</f>
        <v>60.1</v>
      </c>
      <c r="AB92" s="224">
        <f>SUMIFS('rehu-vesi-INFO'!$R:$R,'rehu-vesi-INFO'!$A:$A,'tuot-PVÄ'!B92)</f>
        <v>1649</v>
      </c>
      <c r="AC92" s="224">
        <f>SUMIFS('rehu-vesi-INFO'!$S:$S,'rehu-vesi-INFO'!$A:$A,'tuot-PVÄ'!B92)</f>
        <v>1751</v>
      </c>
      <c r="AD92" s="224">
        <f t="shared" si="30"/>
        <v>102</v>
      </c>
      <c r="AE92" s="224">
        <f t="shared" si="31"/>
        <v>0</v>
      </c>
      <c r="AF92" s="224">
        <f t="shared" si="32"/>
        <v>164.9</v>
      </c>
      <c r="AG92" s="224">
        <f t="shared" si="33"/>
        <v>10.199999999999999</v>
      </c>
      <c r="AH92" s="257">
        <f t="shared" si="36"/>
        <v>0</v>
      </c>
      <c r="AI92" s="258">
        <f t="shared" si="37"/>
        <v>0</v>
      </c>
      <c r="AJ92" s="55">
        <f>SUMIFS('tuot-INFO'!W:W,'tuot-INFO'!$A:$A,'tuot-PVÄ'!B92)</f>
        <v>88.907999999999987</v>
      </c>
      <c r="AK92" s="55">
        <f>SUMIFS('tuot-INFO'!X:X,'tuot-INFO'!$A:$A,'tuot-PVÄ'!B92)</f>
        <v>9.5600000000000023</v>
      </c>
    </row>
    <row r="93" spans="1:37" x14ac:dyDescent="0.25">
      <c r="A93" s="169">
        <f t="shared" si="34"/>
        <v>42579</v>
      </c>
      <c r="B93" s="23">
        <f>ROUNDUP((A93-Yleistiedot!$B$4)/7,0)</f>
        <v>30</v>
      </c>
      <c r="C93" s="16"/>
      <c r="D93" s="25"/>
      <c r="E93" s="25"/>
      <c r="F93" s="25"/>
      <c r="G93" s="25"/>
      <c r="H93" s="25"/>
      <c r="I93" s="65">
        <f t="shared" si="29"/>
        <v>0</v>
      </c>
      <c r="J93" s="26"/>
      <c r="K93" s="25"/>
      <c r="L93" s="16"/>
      <c r="M93" s="16"/>
      <c r="N93" s="25"/>
      <c r="O93" s="176"/>
      <c r="P93" s="252">
        <f t="shared" si="25"/>
        <v>9990</v>
      </c>
      <c r="Q93" s="253">
        <f t="shared" si="26"/>
        <v>0</v>
      </c>
      <c r="R93" s="253">
        <f t="shared" si="27"/>
        <v>0</v>
      </c>
      <c r="S93" s="251">
        <f>SUMIFS('tuot-rehukirjanpito'!D:D,'tuot-rehukirjanpito'!A:A,A93)</f>
        <v>0</v>
      </c>
      <c r="T93" s="254">
        <f t="shared" si="35"/>
        <v>1098.9000000000001</v>
      </c>
      <c r="U93" s="254">
        <f t="shared" si="41"/>
        <v>1098.8999999999999</v>
      </c>
      <c r="V93" s="252">
        <f t="shared" si="38"/>
        <v>-99999.899999999878</v>
      </c>
      <c r="W93" s="255">
        <f t="shared" si="28"/>
        <v>-90.999999999999901</v>
      </c>
      <c r="X93" s="256" t="str">
        <f t="shared" si="39"/>
        <v/>
      </c>
      <c r="Y93" s="256" t="str">
        <f t="shared" si="40"/>
        <v/>
      </c>
      <c r="Z93" s="224" t="str">
        <f>IF(IFERROR(INDEX('tuot-rehukirjanpito'!I:I,MATCH(A93,'tuot-rehukirjanpito'!G:G,0)),)=0,"",INDEX('tuot-rehukirjanpito'!I:I,MATCH(A93,'tuot-rehukirjanpito'!G:G,0)))</f>
        <v/>
      </c>
      <c r="AA93" s="224">
        <f>SUMIFS('tuot-INFO'!$K$10:$K$115,'tuot-INFO'!$A$10:$A$115,'tuot-PVÄ'!B93)</f>
        <v>60.1</v>
      </c>
      <c r="AB93" s="224">
        <f>SUMIFS('rehu-vesi-INFO'!$R:$R,'rehu-vesi-INFO'!$A:$A,'tuot-PVÄ'!B93)</f>
        <v>1649</v>
      </c>
      <c r="AC93" s="224">
        <f>SUMIFS('rehu-vesi-INFO'!$S:$S,'rehu-vesi-INFO'!$A:$A,'tuot-PVÄ'!B93)</f>
        <v>1751</v>
      </c>
      <c r="AD93" s="224">
        <f t="shared" si="30"/>
        <v>102</v>
      </c>
      <c r="AE93" s="224">
        <f t="shared" si="31"/>
        <v>0</v>
      </c>
      <c r="AF93" s="224">
        <f t="shared" si="32"/>
        <v>164.9</v>
      </c>
      <c r="AG93" s="224">
        <f t="shared" si="33"/>
        <v>10.199999999999999</v>
      </c>
      <c r="AH93" s="257">
        <f t="shared" si="36"/>
        <v>0</v>
      </c>
      <c r="AI93" s="258">
        <f t="shared" si="37"/>
        <v>0</v>
      </c>
      <c r="AJ93" s="55">
        <f>SUMIFS('tuot-INFO'!W:W,'tuot-INFO'!$A:$A,'tuot-PVÄ'!B93)</f>
        <v>88.907999999999987</v>
      </c>
      <c r="AK93" s="55">
        <f>SUMIFS('tuot-INFO'!X:X,'tuot-INFO'!$A:$A,'tuot-PVÄ'!B93)</f>
        <v>9.5600000000000023</v>
      </c>
    </row>
    <row r="94" spans="1:37" x14ac:dyDescent="0.25">
      <c r="A94" s="169">
        <f t="shared" si="34"/>
        <v>42580</v>
      </c>
      <c r="B94" s="23">
        <f>ROUNDUP((A94-Yleistiedot!$B$4)/7,0)</f>
        <v>30</v>
      </c>
      <c r="C94" s="16"/>
      <c r="D94" s="25"/>
      <c r="E94" s="25"/>
      <c r="F94" s="25"/>
      <c r="G94" s="25"/>
      <c r="H94" s="25"/>
      <c r="I94" s="65">
        <f t="shared" si="29"/>
        <v>0</v>
      </c>
      <c r="J94" s="26"/>
      <c r="K94" s="25"/>
      <c r="L94" s="16"/>
      <c r="M94" s="16"/>
      <c r="N94" s="25"/>
      <c r="O94" s="30"/>
      <c r="P94" s="252">
        <f t="shared" si="25"/>
        <v>9990</v>
      </c>
      <c r="Q94" s="253">
        <f t="shared" si="26"/>
        <v>0</v>
      </c>
      <c r="R94" s="253">
        <f t="shared" si="27"/>
        <v>0</v>
      </c>
      <c r="S94" s="251">
        <f>SUMIFS('tuot-rehukirjanpito'!D:D,'tuot-rehukirjanpito'!A:A,A94)</f>
        <v>0</v>
      </c>
      <c r="T94" s="254">
        <f t="shared" si="35"/>
        <v>1098.9000000000001</v>
      </c>
      <c r="U94" s="254">
        <f t="shared" si="41"/>
        <v>1098.8999999999999</v>
      </c>
      <c r="V94" s="252">
        <f t="shared" si="38"/>
        <v>-101098.79999999987</v>
      </c>
      <c r="W94" s="255">
        <f t="shared" si="28"/>
        <v>-91.999999999999901</v>
      </c>
      <c r="X94" s="256" t="str">
        <f t="shared" si="39"/>
        <v/>
      </c>
      <c r="Y94" s="256" t="str">
        <f t="shared" si="40"/>
        <v/>
      </c>
      <c r="Z94" s="224" t="str">
        <f>IF(IFERROR(INDEX('tuot-rehukirjanpito'!I:I,MATCH(A94,'tuot-rehukirjanpito'!G:G,0)),)=0,"",INDEX('tuot-rehukirjanpito'!I:I,MATCH(A94,'tuot-rehukirjanpito'!G:G,0)))</f>
        <v/>
      </c>
      <c r="AA94" s="224">
        <f>SUMIFS('tuot-INFO'!$K$10:$K$115,'tuot-INFO'!$A$10:$A$115,'tuot-PVÄ'!B94)</f>
        <v>60.1</v>
      </c>
      <c r="AB94" s="224">
        <f>SUMIFS('rehu-vesi-INFO'!$R:$R,'rehu-vesi-INFO'!$A:$A,'tuot-PVÄ'!B94)</f>
        <v>1649</v>
      </c>
      <c r="AC94" s="224">
        <f>SUMIFS('rehu-vesi-INFO'!$S:$S,'rehu-vesi-INFO'!$A:$A,'tuot-PVÄ'!B94)</f>
        <v>1751</v>
      </c>
      <c r="AD94" s="224">
        <f t="shared" si="30"/>
        <v>102</v>
      </c>
      <c r="AE94" s="224">
        <f t="shared" si="31"/>
        <v>0</v>
      </c>
      <c r="AF94" s="224">
        <f t="shared" si="32"/>
        <v>164.9</v>
      </c>
      <c r="AG94" s="224">
        <f t="shared" si="33"/>
        <v>10.199999999999999</v>
      </c>
      <c r="AH94" s="257">
        <f t="shared" si="36"/>
        <v>0</v>
      </c>
      <c r="AI94" s="258">
        <f t="shared" si="37"/>
        <v>0</v>
      </c>
      <c r="AJ94" s="55">
        <f>SUMIFS('tuot-INFO'!W:W,'tuot-INFO'!$A:$A,'tuot-PVÄ'!B94)</f>
        <v>88.907999999999987</v>
      </c>
      <c r="AK94" s="55">
        <f>SUMIFS('tuot-INFO'!X:X,'tuot-INFO'!$A:$A,'tuot-PVÄ'!B94)</f>
        <v>9.5600000000000023</v>
      </c>
    </row>
    <row r="95" spans="1:37" x14ac:dyDescent="0.25">
      <c r="A95" s="169">
        <f t="shared" si="34"/>
        <v>42581</v>
      </c>
      <c r="B95" s="23">
        <f>ROUNDUP((A95-Yleistiedot!$B$4)/7,0)</f>
        <v>31</v>
      </c>
      <c r="C95" s="16"/>
      <c r="D95" s="25"/>
      <c r="E95" s="25"/>
      <c r="F95" s="25"/>
      <c r="G95" s="25"/>
      <c r="H95" s="25"/>
      <c r="I95" s="65">
        <f t="shared" si="29"/>
        <v>0</v>
      </c>
      <c r="J95" s="26"/>
      <c r="K95" s="25"/>
      <c r="L95" s="16"/>
      <c r="M95" s="16"/>
      <c r="N95" s="25"/>
      <c r="O95" s="30"/>
      <c r="P95" s="252">
        <f t="shared" si="25"/>
        <v>9990</v>
      </c>
      <c r="Q95" s="253">
        <f t="shared" si="26"/>
        <v>0</v>
      </c>
      <c r="R95" s="253">
        <f t="shared" si="27"/>
        <v>0</v>
      </c>
      <c r="S95" s="251">
        <f>SUMIFS('tuot-rehukirjanpito'!D:D,'tuot-rehukirjanpito'!A:A,A95)</f>
        <v>0</v>
      </c>
      <c r="T95" s="254">
        <f t="shared" si="35"/>
        <v>1098.9000000000001</v>
      </c>
      <c r="U95" s="254">
        <f t="shared" si="41"/>
        <v>1098.8999999999999</v>
      </c>
      <c r="V95" s="252">
        <f t="shared" si="38"/>
        <v>-102197.69999999987</v>
      </c>
      <c r="W95" s="255">
        <f t="shared" si="28"/>
        <v>-92.999999999999886</v>
      </c>
      <c r="X95" s="256" t="str">
        <f t="shared" si="39"/>
        <v/>
      </c>
      <c r="Y95" s="256" t="str">
        <f t="shared" si="40"/>
        <v/>
      </c>
      <c r="Z95" s="224" t="str">
        <f>IF(IFERROR(INDEX('tuot-rehukirjanpito'!I:I,MATCH(A95,'tuot-rehukirjanpito'!G:G,0)),)=0,"",INDEX('tuot-rehukirjanpito'!I:I,MATCH(A95,'tuot-rehukirjanpito'!G:G,0)))</f>
        <v/>
      </c>
      <c r="AA95" s="224">
        <f>SUMIFS('tuot-INFO'!$K$10:$K$115,'tuot-INFO'!$A$10:$A$115,'tuot-PVÄ'!B95)</f>
        <v>60.5</v>
      </c>
      <c r="AB95" s="224">
        <f>SUMIFS('rehu-vesi-INFO'!$R:$R,'rehu-vesi-INFO'!$A:$A,'tuot-PVÄ'!B95)</f>
        <v>1654</v>
      </c>
      <c r="AC95" s="224">
        <f>SUMIFS('rehu-vesi-INFO'!$S:$S,'rehu-vesi-INFO'!$A:$A,'tuot-PVÄ'!B95)</f>
        <v>1756</v>
      </c>
      <c r="AD95" s="224">
        <f t="shared" si="30"/>
        <v>102</v>
      </c>
      <c r="AE95" s="224">
        <f t="shared" si="31"/>
        <v>0</v>
      </c>
      <c r="AF95" s="224">
        <f t="shared" si="32"/>
        <v>165.4</v>
      </c>
      <c r="AG95" s="224">
        <f t="shared" si="33"/>
        <v>10.199999999999999</v>
      </c>
      <c r="AH95" s="257">
        <f t="shared" si="36"/>
        <v>0</v>
      </c>
      <c r="AI95" s="258">
        <f t="shared" si="37"/>
        <v>0</v>
      </c>
      <c r="AJ95" s="55">
        <f>SUMIFS('tuot-INFO'!W:W,'tuot-INFO'!$A:$A,'tuot-PVÄ'!B95)</f>
        <v>89.093999999999994</v>
      </c>
      <c r="AK95" s="55">
        <f>SUMIFS('tuot-INFO'!X:X,'tuot-INFO'!$A:$A,'tuot-PVÄ'!B95)</f>
        <v>9.5799999999999983</v>
      </c>
    </row>
    <row r="96" spans="1:37" x14ac:dyDescent="0.25">
      <c r="A96" s="169">
        <f t="shared" si="34"/>
        <v>42582</v>
      </c>
      <c r="B96" s="23">
        <f>ROUNDUP((A96-Yleistiedot!$B$4)/7,0)</f>
        <v>31</v>
      </c>
      <c r="C96" s="16"/>
      <c r="D96" s="25"/>
      <c r="E96" s="25"/>
      <c r="F96" s="25"/>
      <c r="G96" s="25"/>
      <c r="H96" s="25"/>
      <c r="I96" s="65">
        <f t="shared" si="29"/>
        <v>0</v>
      </c>
      <c r="J96" s="26"/>
      <c r="K96" s="25"/>
      <c r="L96" s="16"/>
      <c r="M96" s="16"/>
      <c r="N96" s="25"/>
      <c r="O96" s="30"/>
      <c r="P96" s="252">
        <f t="shared" si="25"/>
        <v>9990</v>
      </c>
      <c r="Q96" s="253">
        <f t="shared" si="26"/>
        <v>0</v>
      </c>
      <c r="R96" s="253">
        <f t="shared" si="27"/>
        <v>0</v>
      </c>
      <c r="S96" s="251">
        <f>SUMIFS('tuot-rehukirjanpito'!D:D,'tuot-rehukirjanpito'!A:A,A96)</f>
        <v>0</v>
      </c>
      <c r="T96" s="254">
        <f t="shared" si="35"/>
        <v>1098.9000000000001</v>
      </c>
      <c r="U96" s="254">
        <f t="shared" si="41"/>
        <v>1098.8999999999999</v>
      </c>
      <c r="V96" s="252">
        <f t="shared" si="38"/>
        <v>-103296.59999999986</v>
      </c>
      <c r="W96" s="255">
        <f t="shared" si="28"/>
        <v>-93.999999999999886</v>
      </c>
      <c r="X96" s="256" t="str">
        <f t="shared" si="39"/>
        <v/>
      </c>
      <c r="Y96" s="256" t="str">
        <f t="shared" si="40"/>
        <v/>
      </c>
      <c r="Z96" s="224" t="str">
        <f>IF(IFERROR(INDEX('tuot-rehukirjanpito'!I:I,MATCH(A96,'tuot-rehukirjanpito'!G:G,0)),)=0,"",INDEX('tuot-rehukirjanpito'!I:I,MATCH(A96,'tuot-rehukirjanpito'!G:G,0)))</f>
        <v/>
      </c>
      <c r="AA96" s="224">
        <f>SUMIFS('tuot-INFO'!$K$10:$K$115,'tuot-INFO'!$A$10:$A$115,'tuot-PVÄ'!B96)</f>
        <v>60.5</v>
      </c>
      <c r="AB96" s="224">
        <f>SUMIFS('rehu-vesi-INFO'!$R:$R,'rehu-vesi-INFO'!$A:$A,'tuot-PVÄ'!B96)</f>
        <v>1654</v>
      </c>
      <c r="AC96" s="224">
        <f>SUMIFS('rehu-vesi-INFO'!$S:$S,'rehu-vesi-INFO'!$A:$A,'tuot-PVÄ'!B96)</f>
        <v>1756</v>
      </c>
      <c r="AD96" s="224">
        <f t="shared" si="30"/>
        <v>102</v>
      </c>
      <c r="AE96" s="224">
        <f t="shared" si="31"/>
        <v>0</v>
      </c>
      <c r="AF96" s="224">
        <f t="shared" si="32"/>
        <v>165.4</v>
      </c>
      <c r="AG96" s="224">
        <f t="shared" si="33"/>
        <v>10.199999999999999</v>
      </c>
      <c r="AH96" s="257">
        <f t="shared" si="36"/>
        <v>0</v>
      </c>
      <c r="AI96" s="258">
        <f t="shared" si="37"/>
        <v>0</v>
      </c>
      <c r="AJ96" s="55">
        <f>SUMIFS('tuot-INFO'!W:W,'tuot-INFO'!$A:$A,'tuot-PVÄ'!B96)</f>
        <v>89.093999999999994</v>
      </c>
      <c r="AK96" s="55">
        <f>SUMIFS('tuot-INFO'!X:X,'tuot-INFO'!$A:$A,'tuot-PVÄ'!B96)</f>
        <v>9.5799999999999983</v>
      </c>
    </row>
    <row r="97" spans="1:37" x14ac:dyDescent="0.25">
      <c r="A97" s="169">
        <f t="shared" si="34"/>
        <v>42583</v>
      </c>
      <c r="B97" s="23">
        <f>ROUNDUP((A97-Yleistiedot!$B$4)/7,0)</f>
        <v>31</v>
      </c>
      <c r="C97" s="16"/>
      <c r="D97" s="25"/>
      <c r="E97" s="25"/>
      <c r="F97" s="25"/>
      <c r="G97" s="25"/>
      <c r="H97" s="25"/>
      <c r="I97" s="65">
        <f t="shared" si="29"/>
        <v>0</v>
      </c>
      <c r="J97" s="26"/>
      <c r="K97" s="25"/>
      <c r="L97" s="16"/>
      <c r="M97" s="16"/>
      <c r="N97" s="25"/>
      <c r="O97" s="30"/>
      <c r="P97" s="252">
        <f t="shared" si="25"/>
        <v>9990</v>
      </c>
      <c r="Q97" s="253">
        <f t="shared" si="26"/>
        <v>0</v>
      </c>
      <c r="R97" s="253">
        <f t="shared" si="27"/>
        <v>0</v>
      </c>
      <c r="S97" s="251">
        <f>SUMIFS('tuot-rehukirjanpito'!D:D,'tuot-rehukirjanpito'!A:A,A97)</f>
        <v>0</v>
      </c>
      <c r="T97" s="254">
        <f t="shared" si="35"/>
        <v>1098.9000000000001</v>
      </c>
      <c r="U97" s="254">
        <f t="shared" si="41"/>
        <v>1098.8999999999999</v>
      </c>
      <c r="V97" s="252">
        <f t="shared" si="38"/>
        <v>-104395.49999999985</v>
      </c>
      <c r="W97" s="255">
        <f t="shared" si="28"/>
        <v>-94.999999999999886</v>
      </c>
      <c r="X97" s="256" t="str">
        <f t="shared" si="39"/>
        <v/>
      </c>
      <c r="Y97" s="256" t="str">
        <f t="shared" si="40"/>
        <v/>
      </c>
      <c r="Z97" s="224" t="str">
        <f>IF(IFERROR(INDEX('tuot-rehukirjanpito'!I:I,MATCH(A97,'tuot-rehukirjanpito'!G:G,0)),)=0,"",INDEX('tuot-rehukirjanpito'!I:I,MATCH(A97,'tuot-rehukirjanpito'!G:G,0)))</f>
        <v/>
      </c>
      <c r="AA97" s="224">
        <f>SUMIFS('tuot-INFO'!$K$10:$K$115,'tuot-INFO'!$A$10:$A$115,'tuot-PVÄ'!B97)</f>
        <v>60.5</v>
      </c>
      <c r="AB97" s="224">
        <f>SUMIFS('rehu-vesi-INFO'!$R:$R,'rehu-vesi-INFO'!$A:$A,'tuot-PVÄ'!B97)</f>
        <v>1654</v>
      </c>
      <c r="AC97" s="224">
        <f>SUMIFS('rehu-vesi-INFO'!$S:$S,'rehu-vesi-INFO'!$A:$A,'tuot-PVÄ'!B97)</f>
        <v>1756</v>
      </c>
      <c r="AD97" s="224">
        <f t="shared" si="30"/>
        <v>102</v>
      </c>
      <c r="AE97" s="224">
        <f t="shared" si="31"/>
        <v>0</v>
      </c>
      <c r="AF97" s="224">
        <f t="shared" si="32"/>
        <v>165.4</v>
      </c>
      <c r="AG97" s="224">
        <f t="shared" si="33"/>
        <v>10.199999999999999</v>
      </c>
      <c r="AH97" s="257">
        <f t="shared" si="36"/>
        <v>0</v>
      </c>
      <c r="AI97" s="258">
        <f t="shared" si="37"/>
        <v>0</v>
      </c>
      <c r="AJ97" s="55">
        <f>SUMIFS('tuot-INFO'!W:W,'tuot-INFO'!$A:$A,'tuot-PVÄ'!B97)</f>
        <v>89.093999999999994</v>
      </c>
      <c r="AK97" s="55">
        <f>SUMIFS('tuot-INFO'!X:X,'tuot-INFO'!$A:$A,'tuot-PVÄ'!B97)</f>
        <v>9.5799999999999983</v>
      </c>
    </row>
    <row r="98" spans="1:37" x14ac:dyDescent="0.25">
      <c r="A98" s="169">
        <f t="shared" si="34"/>
        <v>42584</v>
      </c>
      <c r="B98" s="23">
        <f>ROUNDUP((A98-Yleistiedot!$B$4)/7,0)</f>
        <v>31</v>
      </c>
      <c r="C98" s="16"/>
      <c r="D98" s="25"/>
      <c r="E98" s="25"/>
      <c r="F98" s="25"/>
      <c r="G98" s="25"/>
      <c r="H98" s="25"/>
      <c r="I98" s="65">
        <f t="shared" si="29"/>
        <v>0</v>
      </c>
      <c r="J98" s="26"/>
      <c r="K98" s="25"/>
      <c r="L98" s="16"/>
      <c r="M98" s="16"/>
      <c r="N98" s="25"/>
      <c r="O98" s="30"/>
      <c r="P98" s="252">
        <f t="shared" si="25"/>
        <v>9990</v>
      </c>
      <c r="Q98" s="253">
        <f t="shared" si="26"/>
        <v>0</v>
      </c>
      <c r="R98" s="253">
        <f t="shared" si="27"/>
        <v>0</v>
      </c>
      <c r="S98" s="251">
        <f>SUMIFS('tuot-rehukirjanpito'!D:D,'tuot-rehukirjanpito'!A:A,A98)</f>
        <v>0</v>
      </c>
      <c r="T98" s="254">
        <f t="shared" si="35"/>
        <v>1098.9000000000001</v>
      </c>
      <c r="U98" s="254">
        <f t="shared" si="41"/>
        <v>1098.8999999999999</v>
      </c>
      <c r="V98" s="252">
        <f t="shared" si="38"/>
        <v>-105494.39999999985</v>
      </c>
      <c r="W98" s="255">
        <f t="shared" si="28"/>
        <v>-95.999999999999872</v>
      </c>
      <c r="X98" s="256" t="str">
        <f t="shared" si="39"/>
        <v/>
      </c>
      <c r="Y98" s="256" t="str">
        <f t="shared" si="40"/>
        <v/>
      </c>
      <c r="Z98" s="224" t="str">
        <f>IF(IFERROR(INDEX('tuot-rehukirjanpito'!I:I,MATCH(A98,'tuot-rehukirjanpito'!G:G,0)),)=0,"",INDEX('tuot-rehukirjanpito'!I:I,MATCH(A98,'tuot-rehukirjanpito'!G:G,0)))</f>
        <v/>
      </c>
      <c r="AA98" s="224">
        <f>SUMIFS('tuot-INFO'!$K$10:$K$115,'tuot-INFO'!$A$10:$A$115,'tuot-PVÄ'!B98)</f>
        <v>60.5</v>
      </c>
      <c r="AB98" s="224">
        <f>SUMIFS('rehu-vesi-INFO'!$R:$R,'rehu-vesi-INFO'!$A:$A,'tuot-PVÄ'!B98)</f>
        <v>1654</v>
      </c>
      <c r="AC98" s="224">
        <f>SUMIFS('rehu-vesi-INFO'!$S:$S,'rehu-vesi-INFO'!$A:$A,'tuot-PVÄ'!B98)</f>
        <v>1756</v>
      </c>
      <c r="AD98" s="224">
        <f t="shared" si="30"/>
        <v>102</v>
      </c>
      <c r="AE98" s="224">
        <f t="shared" si="31"/>
        <v>0</v>
      </c>
      <c r="AF98" s="224">
        <f t="shared" si="32"/>
        <v>165.4</v>
      </c>
      <c r="AG98" s="224">
        <f t="shared" si="33"/>
        <v>10.199999999999999</v>
      </c>
      <c r="AH98" s="257">
        <f t="shared" si="36"/>
        <v>0</v>
      </c>
      <c r="AI98" s="258">
        <f t="shared" si="37"/>
        <v>0</v>
      </c>
      <c r="AJ98" s="55">
        <f>SUMIFS('tuot-INFO'!W:W,'tuot-INFO'!$A:$A,'tuot-PVÄ'!B98)</f>
        <v>89.093999999999994</v>
      </c>
      <c r="AK98" s="55">
        <f>SUMIFS('tuot-INFO'!X:X,'tuot-INFO'!$A:$A,'tuot-PVÄ'!B98)</f>
        <v>9.5799999999999983</v>
      </c>
    </row>
    <row r="99" spans="1:37" x14ac:dyDescent="0.25">
      <c r="A99" s="169">
        <f t="shared" si="34"/>
        <v>42585</v>
      </c>
      <c r="B99" s="23">
        <f>ROUNDUP((A99-Yleistiedot!$B$4)/7,0)</f>
        <v>31</v>
      </c>
      <c r="C99" s="16"/>
      <c r="D99" s="25"/>
      <c r="E99" s="25"/>
      <c r="F99" s="25"/>
      <c r="G99" s="25"/>
      <c r="H99" s="25"/>
      <c r="I99" s="65">
        <f t="shared" si="29"/>
        <v>0</v>
      </c>
      <c r="J99" s="26"/>
      <c r="K99" s="25"/>
      <c r="L99" s="16"/>
      <c r="M99" s="16"/>
      <c r="N99" s="25"/>
      <c r="O99" s="30"/>
      <c r="P99" s="252">
        <f t="shared" si="25"/>
        <v>9990</v>
      </c>
      <c r="Q99" s="253">
        <f t="shared" si="26"/>
        <v>0</v>
      </c>
      <c r="R99" s="253">
        <f t="shared" si="27"/>
        <v>0</v>
      </c>
      <c r="S99" s="251">
        <f>SUMIFS('tuot-rehukirjanpito'!D:D,'tuot-rehukirjanpito'!A:A,A99)</f>
        <v>0</v>
      </c>
      <c r="T99" s="254">
        <f t="shared" si="35"/>
        <v>1098.9000000000001</v>
      </c>
      <c r="U99" s="254">
        <f t="shared" si="41"/>
        <v>1098.8999999999999</v>
      </c>
      <c r="V99" s="252">
        <f t="shared" si="38"/>
        <v>-106593.29999999984</v>
      </c>
      <c r="W99" s="255">
        <f t="shared" si="28"/>
        <v>-96.999999999999872</v>
      </c>
      <c r="X99" s="256" t="str">
        <f t="shared" si="39"/>
        <v/>
      </c>
      <c r="Y99" s="256" t="str">
        <f t="shared" si="40"/>
        <v/>
      </c>
      <c r="Z99" s="224" t="str">
        <f>IF(IFERROR(INDEX('tuot-rehukirjanpito'!I:I,MATCH(A99,'tuot-rehukirjanpito'!G:G,0)),)=0,"",INDEX('tuot-rehukirjanpito'!I:I,MATCH(A99,'tuot-rehukirjanpito'!G:G,0)))</f>
        <v/>
      </c>
      <c r="AA99" s="224">
        <f>SUMIFS('tuot-INFO'!$K$10:$K$115,'tuot-INFO'!$A$10:$A$115,'tuot-PVÄ'!B99)</f>
        <v>60.5</v>
      </c>
      <c r="AB99" s="224">
        <f>SUMIFS('rehu-vesi-INFO'!$R:$R,'rehu-vesi-INFO'!$A:$A,'tuot-PVÄ'!B99)</f>
        <v>1654</v>
      </c>
      <c r="AC99" s="224">
        <f>SUMIFS('rehu-vesi-INFO'!$S:$S,'rehu-vesi-INFO'!$A:$A,'tuot-PVÄ'!B99)</f>
        <v>1756</v>
      </c>
      <c r="AD99" s="224">
        <f t="shared" si="30"/>
        <v>102</v>
      </c>
      <c r="AE99" s="224">
        <f t="shared" si="31"/>
        <v>0</v>
      </c>
      <c r="AF99" s="224">
        <f t="shared" si="32"/>
        <v>165.4</v>
      </c>
      <c r="AG99" s="224">
        <f t="shared" si="33"/>
        <v>10.199999999999999</v>
      </c>
      <c r="AH99" s="257">
        <f t="shared" si="36"/>
        <v>0</v>
      </c>
      <c r="AI99" s="258">
        <f t="shared" si="37"/>
        <v>0</v>
      </c>
      <c r="AJ99" s="55">
        <f>SUMIFS('tuot-INFO'!W:W,'tuot-INFO'!$A:$A,'tuot-PVÄ'!B99)</f>
        <v>89.093999999999994</v>
      </c>
      <c r="AK99" s="55">
        <f>SUMIFS('tuot-INFO'!X:X,'tuot-INFO'!$A:$A,'tuot-PVÄ'!B99)</f>
        <v>9.5799999999999983</v>
      </c>
    </row>
    <row r="100" spans="1:37" x14ac:dyDescent="0.25">
      <c r="A100" s="169">
        <f t="shared" si="34"/>
        <v>42586</v>
      </c>
      <c r="B100" s="23">
        <f>ROUNDUP((A100-Yleistiedot!$B$4)/7,0)</f>
        <v>31</v>
      </c>
      <c r="C100" s="16"/>
      <c r="D100" s="25"/>
      <c r="E100" s="25"/>
      <c r="F100" s="25"/>
      <c r="G100" s="25"/>
      <c r="H100" s="25"/>
      <c r="I100" s="65">
        <f t="shared" si="29"/>
        <v>0</v>
      </c>
      <c r="J100" s="26"/>
      <c r="K100" s="25"/>
      <c r="L100" s="16"/>
      <c r="M100" s="16"/>
      <c r="N100" s="25"/>
      <c r="O100" s="176"/>
      <c r="P100" s="252">
        <f t="shared" si="25"/>
        <v>9990</v>
      </c>
      <c r="Q100" s="253">
        <f t="shared" si="26"/>
        <v>0</v>
      </c>
      <c r="R100" s="253">
        <f t="shared" si="27"/>
        <v>0</v>
      </c>
      <c r="S100" s="251">
        <f>SUMIFS('tuot-rehukirjanpito'!D:D,'tuot-rehukirjanpito'!A:A,A100)</f>
        <v>0</v>
      </c>
      <c r="T100" s="254">
        <f t="shared" si="35"/>
        <v>1098.9000000000001</v>
      </c>
      <c r="U100" s="254">
        <f t="shared" si="41"/>
        <v>1098.8999999999999</v>
      </c>
      <c r="V100" s="252">
        <f t="shared" si="38"/>
        <v>-107692.19999999984</v>
      </c>
      <c r="W100" s="255">
        <f t="shared" si="28"/>
        <v>-97.999999999999858</v>
      </c>
      <c r="X100" s="256" t="str">
        <f t="shared" si="39"/>
        <v/>
      </c>
      <c r="Y100" s="256" t="str">
        <f t="shared" si="40"/>
        <v/>
      </c>
      <c r="Z100" s="224" t="str">
        <f>IF(IFERROR(INDEX('tuot-rehukirjanpito'!I:I,MATCH(A100,'tuot-rehukirjanpito'!G:G,0)),)=0,"",INDEX('tuot-rehukirjanpito'!I:I,MATCH(A100,'tuot-rehukirjanpito'!G:G,0)))</f>
        <v/>
      </c>
      <c r="AA100" s="224">
        <f>SUMIFS('tuot-INFO'!$K$10:$K$115,'tuot-INFO'!$A$10:$A$115,'tuot-PVÄ'!B100)</f>
        <v>60.5</v>
      </c>
      <c r="AB100" s="224">
        <f>SUMIFS('rehu-vesi-INFO'!$R:$R,'rehu-vesi-INFO'!$A:$A,'tuot-PVÄ'!B100)</f>
        <v>1654</v>
      </c>
      <c r="AC100" s="224">
        <f>SUMIFS('rehu-vesi-INFO'!$S:$S,'rehu-vesi-INFO'!$A:$A,'tuot-PVÄ'!B100)</f>
        <v>1756</v>
      </c>
      <c r="AD100" s="224">
        <f t="shared" si="30"/>
        <v>102</v>
      </c>
      <c r="AE100" s="224">
        <f t="shared" si="31"/>
        <v>0</v>
      </c>
      <c r="AF100" s="224">
        <f t="shared" si="32"/>
        <v>165.4</v>
      </c>
      <c r="AG100" s="224">
        <f t="shared" si="33"/>
        <v>10.199999999999999</v>
      </c>
      <c r="AH100" s="257">
        <f t="shared" si="36"/>
        <v>0</v>
      </c>
      <c r="AI100" s="258">
        <f t="shared" si="37"/>
        <v>0</v>
      </c>
      <c r="AJ100" s="55">
        <f>SUMIFS('tuot-INFO'!W:W,'tuot-INFO'!$A:$A,'tuot-PVÄ'!B100)</f>
        <v>89.093999999999994</v>
      </c>
      <c r="AK100" s="55">
        <f>SUMIFS('tuot-INFO'!X:X,'tuot-INFO'!$A:$A,'tuot-PVÄ'!B100)</f>
        <v>9.5799999999999983</v>
      </c>
    </row>
    <row r="101" spans="1:37" x14ac:dyDescent="0.25">
      <c r="A101" s="169">
        <f t="shared" si="34"/>
        <v>42587</v>
      </c>
      <c r="B101" s="23">
        <f>ROUNDUP((A101-Yleistiedot!$B$4)/7,0)</f>
        <v>31</v>
      </c>
      <c r="C101" s="16"/>
      <c r="D101" s="25"/>
      <c r="E101" s="25"/>
      <c r="F101" s="25"/>
      <c r="G101" s="25"/>
      <c r="H101" s="25"/>
      <c r="I101" s="65">
        <f t="shared" si="29"/>
        <v>0</v>
      </c>
      <c r="J101" s="26"/>
      <c r="K101" s="25"/>
      <c r="L101" s="16"/>
      <c r="M101" s="16"/>
      <c r="N101" s="25"/>
      <c r="O101" s="30"/>
      <c r="P101" s="252">
        <f t="shared" si="25"/>
        <v>9990</v>
      </c>
      <c r="Q101" s="253">
        <f t="shared" si="26"/>
        <v>0</v>
      </c>
      <c r="R101" s="253">
        <f t="shared" si="27"/>
        <v>0</v>
      </c>
      <c r="S101" s="251">
        <f>SUMIFS('tuot-rehukirjanpito'!D:D,'tuot-rehukirjanpito'!A:A,A101)</f>
        <v>0</v>
      </c>
      <c r="T101" s="254">
        <f t="shared" si="35"/>
        <v>1098.9000000000001</v>
      </c>
      <c r="U101" s="254">
        <f t="shared" si="41"/>
        <v>1098.8999999999999</v>
      </c>
      <c r="V101" s="252">
        <f t="shared" si="38"/>
        <v>-108791.09999999983</v>
      </c>
      <c r="W101" s="255">
        <f t="shared" si="28"/>
        <v>-98.999999999999858</v>
      </c>
      <c r="X101" s="256" t="str">
        <f t="shared" si="39"/>
        <v/>
      </c>
      <c r="Y101" s="256" t="str">
        <f t="shared" si="40"/>
        <v/>
      </c>
      <c r="Z101" s="224" t="str">
        <f>IF(IFERROR(INDEX('tuot-rehukirjanpito'!I:I,MATCH(A101,'tuot-rehukirjanpito'!G:G,0)),)=0,"",INDEX('tuot-rehukirjanpito'!I:I,MATCH(A101,'tuot-rehukirjanpito'!G:G,0)))</f>
        <v/>
      </c>
      <c r="AA101" s="224">
        <f>SUMIFS('tuot-INFO'!$K$10:$K$115,'tuot-INFO'!$A$10:$A$115,'tuot-PVÄ'!B101)</f>
        <v>60.5</v>
      </c>
      <c r="AB101" s="224">
        <f>SUMIFS('rehu-vesi-INFO'!$R:$R,'rehu-vesi-INFO'!$A:$A,'tuot-PVÄ'!B101)</f>
        <v>1654</v>
      </c>
      <c r="AC101" s="224">
        <f>SUMIFS('rehu-vesi-INFO'!$S:$S,'rehu-vesi-INFO'!$A:$A,'tuot-PVÄ'!B101)</f>
        <v>1756</v>
      </c>
      <c r="AD101" s="224">
        <f t="shared" si="30"/>
        <v>102</v>
      </c>
      <c r="AE101" s="224">
        <f t="shared" si="31"/>
        <v>0</v>
      </c>
      <c r="AF101" s="224">
        <f t="shared" si="32"/>
        <v>165.4</v>
      </c>
      <c r="AG101" s="224">
        <f t="shared" si="33"/>
        <v>10.199999999999999</v>
      </c>
      <c r="AH101" s="257">
        <f t="shared" si="36"/>
        <v>0</v>
      </c>
      <c r="AI101" s="258">
        <f t="shared" si="37"/>
        <v>0</v>
      </c>
      <c r="AJ101" s="55">
        <f>SUMIFS('tuot-INFO'!W:W,'tuot-INFO'!$A:$A,'tuot-PVÄ'!B101)</f>
        <v>89.093999999999994</v>
      </c>
      <c r="AK101" s="55">
        <f>SUMIFS('tuot-INFO'!X:X,'tuot-INFO'!$A:$A,'tuot-PVÄ'!B101)</f>
        <v>9.5799999999999983</v>
      </c>
    </row>
    <row r="102" spans="1:37" x14ac:dyDescent="0.25">
      <c r="A102" s="169">
        <f t="shared" si="34"/>
        <v>42588</v>
      </c>
      <c r="B102" s="23">
        <f>ROUNDUP((A102-Yleistiedot!$B$4)/7,0)</f>
        <v>32</v>
      </c>
      <c r="C102" s="16"/>
      <c r="D102" s="25"/>
      <c r="E102" s="25"/>
      <c r="F102" s="25"/>
      <c r="G102" s="25"/>
      <c r="H102" s="25"/>
      <c r="I102" s="65">
        <f t="shared" si="29"/>
        <v>0</v>
      </c>
      <c r="J102" s="26"/>
      <c r="K102" s="25"/>
      <c r="L102" s="16"/>
      <c r="M102" s="16"/>
      <c r="N102" s="25"/>
      <c r="O102" s="30"/>
      <c r="P102" s="252">
        <f t="shared" si="25"/>
        <v>9990</v>
      </c>
      <c r="Q102" s="253">
        <f t="shared" si="26"/>
        <v>0</v>
      </c>
      <c r="R102" s="253">
        <f t="shared" si="27"/>
        <v>0</v>
      </c>
      <c r="S102" s="251">
        <f>SUMIFS('tuot-rehukirjanpito'!D:D,'tuot-rehukirjanpito'!A:A,A102)</f>
        <v>0</v>
      </c>
      <c r="T102" s="254">
        <f t="shared" si="35"/>
        <v>1098.9000000000001</v>
      </c>
      <c r="U102" s="254">
        <f t="shared" si="41"/>
        <v>1098.8999999999999</v>
      </c>
      <c r="V102" s="252">
        <f t="shared" si="38"/>
        <v>-109889.99999999983</v>
      </c>
      <c r="W102" s="255">
        <f t="shared" si="28"/>
        <v>-99.999999999999858</v>
      </c>
      <c r="X102" s="256" t="str">
        <f t="shared" si="39"/>
        <v/>
      </c>
      <c r="Y102" s="256" t="str">
        <f t="shared" si="40"/>
        <v/>
      </c>
      <c r="Z102" s="224" t="str">
        <f>IF(IFERROR(INDEX('tuot-rehukirjanpito'!I:I,MATCH(A102,'tuot-rehukirjanpito'!G:G,0)),)=0,"",INDEX('tuot-rehukirjanpito'!I:I,MATCH(A102,'tuot-rehukirjanpito'!G:G,0)))</f>
        <v/>
      </c>
      <c r="AA102" s="224">
        <f>SUMIFS('tuot-INFO'!$K$10:$K$115,'tuot-INFO'!$A$10:$A$115,'tuot-PVÄ'!B102)</f>
        <v>60.9</v>
      </c>
      <c r="AB102" s="224">
        <f>SUMIFS('rehu-vesi-INFO'!$R:$R,'rehu-vesi-INFO'!$A:$A,'tuot-PVÄ'!B102)</f>
        <v>1659</v>
      </c>
      <c r="AC102" s="224">
        <f>SUMIFS('rehu-vesi-INFO'!$S:$S,'rehu-vesi-INFO'!$A:$A,'tuot-PVÄ'!B102)</f>
        <v>1761</v>
      </c>
      <c r="AD102" s="224">
        <f t="shared" si="30"/>
        <v>102</v>
      </c>
      <c r="AE102" s="224">
        <f t="shared" si="31"/>
        <v>0</v>
      </c>
      <c r="AF102" s="224">
        <f t="shared" si="32"/>
        <v>165.9</v>
      </c>
      <c r="AG102" s="224">
        <f t="shared" si="33"/>
        <v>10.199999999999999</v>
      </c>
      <c r="AH102" s="257">
        <f t="shared" si="36"/>
        <v>0</v>
      </c>
      <c r="AI102" s="258">
        <f t="shared" si="37"/>
        <v>0</v>
      </c>
      <c r="AJ102" s="55">
        <f>SUMIFS('tuot-INFO'!W:W,'tuot-INFO'!$A:$A,'tuot-PVÄ'!B102)</f>
        <v>89.28</v>
      </c>
      <c r="AK102" s="55">
        <f>SUMIFS('tuot-INFO'!X:X,'tuot-INFO'!$A:$A,'tuot-PVÄ'!B102)</f>
        <v>9.5999999999999943</v>
      </c>
    </row>
    <row r="103" spans="1:37" x14ac:dyDescent="0.25">
      <c r="A103" s="169">
        <f t="shared" si="34"/>
        <v>42589</v>
      </c>
      <c r="B103" s="23">
        <f>ROUNDUP((A103-Yleistiedot!$B$4)/7,0)</f>
        <v>32</v>
      </c>
      <c r="C103" s="16"/>
      <c r="D103" s="25"/>
      <c r="E103" s="25"/>
      <c r="F103" s="25"/>
      <c r="G103" s="25"/>
      <c r="H103" s="25"/>
      <c r="I103" s="65">
        <f t="shared" si="29"/>
        <v>0</v>
      </c>
      <c r="J103" s="26"/>
      <c r="K103" s="25"/>
      <c r="L103" s="16"/>
      <c r="M103" s="16"/>
      <c r="N103" s="25"/>
      <c r="O103" s="176"/>
      <c r="P103" s="252">
        <f t="shared" si="25"/>
        <v>9990</v>
      </c>
      <c r="Q103" s="253">
        <f t="shared" si="26"/>
        <v>0</v>
      </c>
      <c r="R103" s="253">
        <f t="shared" si="27"/>
        <v>0</v>
      </c>
      <c r="S103" s="251">
        <f>SUMIFS('tuot-rehukirjanpito'!D:D,'tuot-rehukirjanpito'!A:A,A103)</f>
        <v>0</v>
      </c>
      <c r="T103" s="254">
        <f t="shared" si="35"/>
        <v>1098.9000000000001</v>
      </c>
      <c r="U103" s="254">
        <f t="shared" si="41"/>
        <v>1098.8999999999999</v>
      </c>
      <c r="V103" s="252">
        <f t="shared" si="38"/>
        <v>-110988.89999999982</v>
      </c>
      <c r="W103" s="255">
        <f t="shared" si="28"/>
        <v>-100.99999999999984</v>
      </c>
      <c r="X103" s="256" t="str">
        <f t="shared" si="39"/>
        <v/>
      </c>
      <c r="Y103" s="256" t="str">
        <f t="shared" si="40"/>
        <v/>
      </c>
      <c r="Z103" s="224" t="str">
        <f>IF(IFERROR(INDEX('tuot-rehukirjanpito'!I:I,MATCH(A103,'tuot-rehukirjanpito'!G:G,0)),)=0,"",INDEX('tuot-rehukirjanpito'!I:I,MATCH(A103,'tuot-rehukirjanpito'!G:G,0)))</f>
        <v/>
      </c>
      <c r="AA103" s="224">
        <f>SUMIFS('tuot-INFO'!$K$10:$K$115,'tuot-INFO'!$A$10:$A$115,'tuot-PVÄ'!B103)</f>
        <v>60.9</v>
      </c>
      <c r="AB103" s="224">
        <f>SUMIFS('rehu-vesi-INFO'!$R:$R,'rehu-vesi-INFO'!$A:$A,'tuot-PVÄ'!B103)</f>
        <v>1659</v>
      </c>
      <c r="AC103" s="224">
        <f>SUMIFS('rehu-vesi-INFO'!$S:$S,'rehu-vesi-INFO'!$A:$A,'tuot-PVÄ'!B103)</f>
        <v>1761</v>
      </c>
      <c r="AD103" s="224">
        <f t="shared" si="30"/>
        <v>102</v>
      </c>
      <c r="AE103" s="224">
        <f t="shared" si="31"/>
        <v>0</v>
      </c>
      <c r="AF103" s="224">
        <f t="shared" si="32"/>
        <v>165.9</v>
      </c>
      <c r="AG103" s="224">
        <f t="shared" si="33"/>
        <v>10.199999999999999</v>
      </c>
      <c r="AH103" s="257">
        <f t="shared" si="36"/>
        <v>0</v>
      </c>
      <c r="AI103" s="258">
        <f t="shared" si="37"/>
        <v>0</v>
      </c>
      <c r="AJ103" s="55">
        <f>SUMIFS('tuot-INFO'!W:W,'tuot-INFO'!$A:$A,'tuot-PVÄ'!B103)</f>
        <v>89.28</v>
      </c>
      <c r="AK103" s="55">
        <f>SUMIFS('tuot-INFO'!X:X,'tuot-INFO'!$A:$A,'tuot-PVÄ'!B103)</f>
        <v>9.5999999999999943</v>
      </c>
    </row>
    <row r="104" spans="1:37" x14ac:dyDescent="0.25">
      <c r="A104" s="169">
        <f t="shared" si="34"/>
        <v>42590</v>
      </c>
      <c r="B104" s="23">
        <f>ROUNDUP((A104-Yleistiedot!$B$4)/7,0)</f>
        <v>32</v>
      </c>
      <c r="C104" s="16"/>
      <c r="D104" s="25"/>
      <c r="E104" s="25"/>
      <c r="F104" s="25"/>
      <c r="G104" s="25"/>
      <c r="H104" s="25"/>
      <c r="I104" s="65">
        <f t="shared" si="29"/>
        <v>0</v>
      </c>
      <c r="J104" s="26"/>
      <c r="K104" s="25"/>
      <c r="L104" s="16"/>
      <c r="M104" s="16"/>
      <c r="N104" s="25"/>
      <c r="O104" s="176"/>
      <c r="P104" s="252">
        <f t="shared" si="25"/>
        <v>9990</v>
      </c>
      <c r="Q104" s="253">
        <f t="shared" si="26"/>
        <v>0</v>
      </c>
      <c r="R104" s="253">
        <f t="shared" si="27"/>
        <v>0</v>
      </c>
      <c r="S104" s="251">
        <f>SUMIFS('tuot-rehukirjanpito'!D:D,'tuot-rehukirjanpito'!A:A,A104)</f>
        <v>0</v>
      </c>
      <c r="T104" s="254">
        <f t="shared" si="35"/>
        <v>1098.9000000000001</v>
      </c>
      <c r="U104" s="254">
        <f t="shared" si="41"/>
        <v>1098.8999999999999</v>
      </c>
      <c r="V104" s="252">
        <f t="shared" si="38"/>
        <v>-112087.79999999981</v>
      </c>
      <c r="W104" s="255">
        <f t="shared" si="28"/>
        <v>-101.99999999999984</v>
      </c>
      <c r="X104" s="256" t="str">
        <f t="shared" si="39"/>
        <v/>
      </c>
      <c r="Y104" s="256" t="str">
        <f t="shared" si="40"/>
        <v/>
      </c>
      <c r="Z104" s="224" t="str">
        <f>IF(IFERROR(INDEX('tuot-rehukirjanpito'!I:I,MATCH(A104,'tuot-rehukirjanpito'!G:G,0)),)=0,"",INDEX('tuot-rehukirjanpito'!I:I,MATCH(A104,'tuot-rehukirjanpito'!G:G,0)))</f>
        <v/>
      </c>
      <c r="AA104" s="224">
        <f>SUMIFS('tuot-INFO'!$K$10:$K$115,'tuot-INFO'!$A$10:$A$115,'tuot-PVÄ'!B104)</f>
        <v>60.9</v>
      </c>
      <c r="AB104" s="224">
        <f>SUMIFS('rehu-vesi-INFO'!$R:$R,'rehu-vesi-INFO'!$A:$A,'tuot-PVÄ'!B104)</f>
        <v>1659</v>
      </c>
      <c r="AC104" s="224">
        <f>SUMIFS('rehu-vesi-INFO'!$S:$S,'rehu-vesi-INFO'!$A:$A,'tuot-PVÄ'!B104)</f>
        <v>1761</v>
      </c>
      <c r="AD104" s="224">
        <f t="shared" si="30"/>
        <v>102</v>
      </c>
      <c r="AE104" s="224">
        <f t="shared" si="31"/>
        <v>0</v>
      </c>
      <c r="AF104" s="224">
        <f t="shared" si="32"/>
        <v>165.9</v>
      </c>
      <c r="AG104" s="224">
        <f t="shared" si="33"/>
        <v>10.199999999999999</v>
      </c>
      <c r="AH104" s="257">
        <f t="shared" si="36"/>
        <v>0</v>
      </c>
      <c r="AI104" s="258">
        <f t="shared" si="37"/>
        <v>0</v>
      </c>
      <c r="AJ104" s="55">
        <f>SUMIFS('tuot-INFO'!W:W,'tuot-INFO'!$A:$A,'tuot-PVÄ'!B104)</f>
        <v>89.28</v>
      </c>
      <c r="AK104" s="55">
        <f>SUMIFS('tuot-INFO'!X:X,'tuot-INFO'!$A:$A,'tuot-PVÄ'!B104)</f>
        <v>9.5999999999999943</v>
      </c>
    </row>
    <row r="105" spans="1:37" x14ac:dyDescent="0.25">
      <c r="A105" s="169">
        <f t="shared" si="34"/>
        <v>42591</v>
      </c>
      <c r="B105" s="23">
        <f>ROUNDUP((A105-Yleistiedot!$B$4)/7,0)</f>
        <v>32</v>
      </c>
      <c r="C105" s="16"/>
      <c r="D105" s="25"/>
      <c r="E105" s="25"/>
      <c r="F105" s="25"/>
      <c r="G105" s="25"/>
      <c r="H105" s="25"/>
      <c r="I105" s="65">
        <f t="shared" si="29"/>
        <v>0</v>
      </c>
      <c r="J105" s="26"/>
      <c r="K105" s="25"/>
      <c r="L105" s="16"/>
      <c r="M105" s="16"/>
      <c r="N105" s="25"/>
      <c r="O105" s="176"/>
      <c r="P105" s="252">
        <f t="shared" si="25"/>
        <v>9990</v>
      </c>
      <c r="Q105" s="253">
        <f t="shared" si="26"/>
        <v>0</v>
      </c>
      <c r="R105" s="253">
        <f t="shared" si="27"/>
        <v>0</v>
      </c>
      <c r="S105" s="251">
        <f>SUMIFS('tuot-rehukirjanpito'!D:D,'tuot-rehukirjanpito'!A:A,A105)</f>
        <v>0</v>
      </c>
      <c r="T105" s="254">
        <f t="shared" si="35"/>
        <v>1098.9000000000001</v>
      </c>
      <c r="U105" s="254">
        <f t="shared" si="41"/>
        <v>1098.8999999999999</v>
      </c>
      <c r="V105" s="252">
        <f t="shared" si="38"/>
        <v>-113186.69999999981</v>
      </c>
      <c r="W105" s="255">
        <f t="shared" si="28"/>
        <v>-102.99999999999984</v>
      </c>
      <c r="X105" s="256" t="str">
        <f t="shared" si="39"/>
        <v/>
      </c>
      <c r="Y105" s="256" t="str">
        <f t="shared" si="40"/>
        <v/>
      </c>
      <c r="Z105" s="224" t="str">
        <f>IF(IFERROR(INDEX('tuot-rehukirjanpito'!I:I,MATCH(A105,'tuot-rehukirjanpito'!G:G,0)),)=0,"",INDEX('tuot-rehukirjanpito'!I:I,MATCH(A105,'tuot-rehukirjanpito'!G:G,0)))</f>
        <v/>
      </c>
      <c r="AA105" s="224">
        <f>SUMIFS('tuot-INFO'!$K$10:$K$115,'tuot-INFO'!$A$10:$A$115,'tuot-PVÄ'!B105)</f>
        <v>60.9</v>
      </c>
      <c r="AB105" s="224">
        <f>SUMIFS('rehu-vesi-INFO'!$R:$R,'rehu-vesi-INFO'!$A:$A,'tuot-PVÄ'!B105)</f>
        <v>1659</v>
      </c>
      <c r="AC105" s="224">
        <f>SUMIFS('rehu-vesi-INFO'!$S:$S,'rehu-vesi-INFO'!$A:$A,'tuot-PVÄ'!B105)</f>
        <v>1761</v>
      </c>
      <c r="AD105" s="224">
        <f t="shared" si="30"/>
        <v>102</v>
      </c>
      <c r="AE105" s="224">
        <f t="shared" si="31"/>
        <v>0</v>
      </c>
      <c r="AF105" s="224">
        <f t="shared" si="32"/>
        <v>165.9</v>
      </c>
      <c r="AG105" s="224">
        <f t="shared" si="33"/>
        <v>10.199999999999999</v>
      </c>
      <c r="AH105" s="257">
        <f t="shared" si="36"/>
        <v>0</v>
      </c>
      <c r="AI105" s="258">
        <f t="shared" si="37"/>
        <v>0</v>
      </c>
      <c r="AJ105" s="55">
        <f>SUMIFS('tuot-INFO'!W:W,'tuot-INFO'!$A:$A,'tuot-PVÄ'!B105)</f>
        <v>89.28</v>
      </c>
      <c r="AK105" s="55">
        <f>SUMIFS('tuot-INFO'!X:X,'tuot-INFO'!$A:$A,'tuot-PVÄ'!B105)</f>
        <v>9.5999999999999943</v>
      </c>
    </row>
    <row r="106" spans="1:37" x14ac:dyDescent="0.25">
      <c r="A106" s="169">
        <f t="shared" si="34"/>
        <v>42592</v>
      </c>
      <c r="B106" s="23">
        <f>ROUNDUP((A106-Yleistiedot!$B$4)/7,0)</f>
        <v>32</v>
      </c>
      <c r="C106" s="16"/>
      <c r="D106" s="25"/>
      <c r="E106" s="25"/>
      <c r="F106" s="25"/>
      <c r="G106" s="25"/>
      <c r="H106" s="25"/>
      <c r="I106" s="65">
        <f t="shared" si="29"/>
        <v>0</v>
      </c>
      <c r="J106" s="26"/>
      <c r="K106" s="25"/>
      <c r="L106" s="16"/>
      <c r="M106" s="16"/>
      <c r="N106" s="25"/>
      <c r="O106" s="176"/>
      <c r="P106" s="252">
        <f t="shared" si="25"/>
        <v>9990</v>
      </c>
      <c r="Q106" s="253">
        <f t="shared" si="26"/>
        <v>0</v>
      </c>
      <c r="R106" s="253">
        <f t="shared" si="27"/>
        <v>0</v>
      </c>
      <c r="S106" s="251">
        <f>SUMIFS('tuot-rehukirjanpito'!D:D,'tuot-rehukirjanpito'!A:A,A106)</f>
        <v>0</v>
      </c>
      <c r="T106" s="254">
        <f t="shared" si="35"/>
        <v>1098.9000000000001</v>
      </c>
      <c r="U106" s="254">
        <f t="shared" si="41"/>
        <v>1098.8999999999999</v>
      </c>
      <c r="V106" s="252">
        <f t="shared" si="38"/>
        <v>-114285.5999999998</v>
      </c>
      <c r="W106" s="255">
        <f t="shared" si="28"/>
        <v>-103.99999999999983</v>
      </c>
      <c r="X106" s="256" t="str">
        <f t="shared" si="39"/>
        <v/>
      </c>
      <c r="Y106" s="256" t="str">
        <f t="shared" si="40"/>
        <v/>
      </c>
      <c r="Z106" s="224" t="str">
        <f>IF(IFERROR(INDEX('tuot-rehukirjanpito'!I:I,MATCH(A106,'tuot-rehukirjanpito'!G:G,0)),)=0,"",INDEX('tuot-rehukirjanpito'!I:I,MATCH(A106,'tuot-rehukirjanpito'!G:G,0)))</f>
        <v/>
      </c>
      <c r="AA106" s="224">
        <f>SUMIFS('tuot-INFO'!$K$10:$K$115,'tuot-INFO'!$A$10:$A$115,'tuot-PVÄ'!B106)</f>
        <v>60.9</v>
      </c>
      <c r="AB106" s="224">
        <f>SUMIFS('rehu-vesi-INFO'!$R:$R,'rehu-vesi-INFO'!$A:$A,'tuot-PVÄ'!B106)</f>
        <v>1659</v>
      </c>
      <c r="AC106" s="224">
        <f>SUMIFS('rehu-vesi-INFO'!$S:$S,'rehu-vesi-INFO'!$A:$A,'tuot-PVÄ'!B106)</f>
        <v>1761</v>
      </c>
      <c r="AD106" s="224">
        <f t="shared" si="30"/>
        <v>102</v>
      </c>
      <c r="AE106" s="224">
        <f t="shared" si="31"/>
        <v>0</v>
      </c>
      <c r="AF106" s="224">
        <f t="shared" si="32"/>
        <v>165.9</v>
      </c>
      <c r="AG106" s="224">
        <f t="shared" si="33"/>
        <v>10.199999999999999</v>
      </c>
      <c r="AH106" s="257">
        <f t="shared" si="36"/>
        <v>0</v>
      </c>
      <c r="AI106" s="258">
        <f t="shared" si="37"/>
        <v>0</v>
      </c>
      <c r="AJ106" s="55">
        <f>SUMIFS('tuot-INFO'!W:W,'tuot-INFO'!$A:$A,'tuot-PVÄ'!B106)</f>
        <v>89.28</v>
      </c>
      <c r="AK106" s="55">
        <f>SUMIFS('tuot-INFO'!X:X,'tuot-INFO'!$A:$A,'tuot-PVÄ'!B106)</f>
        <v>9.5999999999999943</v>
      </c>
    </row>
    <row r="107" spans="1:37" x14ac:dyDescent="0.25">
      <c r="A107" s="169">
        <f t="shared" si="34"/>
        <v>42593</v>
      </c>
      <c r="B107" s="23">
        <f>ROUNDUP((A107-Yleistiedot!$B$4)/7,0)</f>
        <v>32</v>
      </c>
      <c r="C107" s="16"/>
      <c r="D107" s="25"/>
      <c r="E107" s="25"/>
      <c r="F107" s="25"/>
      <c r="G107" s="25"/>
      <c r="H107" s="25"/>
      <c r="I107" s="65">
        <f t="shared" si="29"/>
        <v>0</v>
      </c>
      <c r="J107" s="26"/>
      <c r="K107" s="25"/>
      <c r="L107" s="16"/>
      <c r="M107" s="16"/>
      <c r="N107" s="25"/>
      <c r="O107" s="176"/>
      <c r="P107" s="252">
        <f t="shared" si="25"/>
        <v>9990</v>
      </c>
      <c r="Q107" s="253">
        <f t="shared" si="26"/>
        <v>0</v>
      </c>
      <c r="R107" s="253">
        <f t="shared" si="27"/>
        <v>0</v>
      </c>
      <c r="S107" s="251">
        <f>SUMIFS('tuot-rehukirjanpito'!D:D,'tuot-rehukirjanpito'!A:A,A107)</f>
        <v>0</v>
      </c>
      <c r="T107" s="254">
        <f t="shared" si="35"/>
        <v>1098.9000000000001</v>
      </c>
      <c r="U107" s="254">
        <f t="shared" si="41"/>
        <v>1098.8999999999999</v>
      </c>
      <c r="V107" s="252">
        <f t="shared" si="38"/>
        <v>-115384.4999999998</v>
      </c>
      <c r="W107" s="255">
        <f t="shared" si="28"/>
        <v>-104.99999999999983</v>
      </c>
      <c r="X107" s="256" t="str">
        <f t="shared" si="39"/>
        <v/>
      </c>
      <c r="Y107" s="256" t="str">
        <f t="shared" si="40"/>
        <v/>
      </c>
      <c r="Z107" s="224" t="str">
        <f>IF(IFERROR(INDEX('tuot-rehukirjanpito'!I:I,MATCH(A107,'tuot-rehukirjanpito'!G:G,0)),)=0,"",INDEX('tuot-rehukirjanpito'!I:I,MATCH(A107,'tuot-rehukirjanpito'!G:G,0)))</f>
        <v/>
      </c>
      <c r="AA107" s="224">
        <f>SUMIFS('tuot-INFO'!$K$10:$K$115,'tuot-INFO'!$A$10:$A$115,'tuot-PVÄ'!B107)</f>
        <v>60.9</v>
      </c>
      <c r="AB107" s="224">
        <f>SUMIFS('rehu-vesi-INFO'!$R:$R,'rehu-vesi-INFO'!$A:$A,'tuot-PVÄ'!B107)</f>
        <v>1659</v>
      </c>
      <c r="AC107" s="224">
        <f>SUMIFS('rehu-vesi-INFO'!$S:$S,'rehu-vesi-INFO'!$A:$A,'tuot-PVÄ'!B107)</f>
        <v>1761</v>
      </c>
      <c r="AD107" s="224">
        <f t="shared" si="30"/>
        <v>102</v>
      </c>
      <c r="AE107" s="224">
        <f t="shared" si="31"/>
        <v>0</v>
      </c>
      <c r="AF107" s="224">
        <f t="shared" si="32"/>
        <v>165.9</v>
      </c>
      <c r="AG107" s="224">
        <f t="shared" si="33"/>
        <v>10.199999999999999</v>
      </c>
      <c r="AH107" s="257">
        <f t="shared" si="36"/>
        <v>0</v>
      </c>
      <c r="AI107" s="258">
        <f t="shared" si="37"/>
        <v>0</v>
      </c>
      <c r="AJ107" s="55">
        <f>SUMIFS('tuot-INFO'!W:W,'tuot-INFO'!$A:$A,'tuot-PVÄ'!B107)</f>
        <v>89.28</v>
      </c>
      <c r="AK107" s="55">
        <f>SUMIFS('tuot-INFO'!X:X,'tuot-INFO'!$A:$A,'tuot-PVÄ'!B107)</f>
        <v>9.5999999999999943</v>
      </c>
    </row>
    <row r="108" spans="1:37" x14ac:dyDescent="0.25">
      <c r="A108" s="169">
        <f t="shared" si="34"/>
        <v>42594</v>
      </c>
      <c r="B108" s="23">
        <f>ROUNDUP((A108-Yleistiedot!$B$4)/7,0)</f>
        <v>32</v>
      </c>
      <c r="C108" s="16"/>
      <c r="D108" s="25"/>
      <c r="E108" s="25"/>
      <c r="F108" s="25"/>
      <c r="G108" s="25"/>
      <c r="H108" s="25"/>
      <c r="I108" s="65">
        <f t="shared" si="29"/>
        <v>0</v>
      </c>
      <c r="J108" s="26"/>
      <c r="K108" s="25"/>
      <c r="L108" s="16"/>
      <c r="M108" s="16"/>
      <c r="N108" s="25"/>
      <c r="O108" s="176"/>
      <c r="P108" s="252">
        <f t="shared" si="25"/>
        <v>9990</v>
      </c>
      <c r="Q108" s="253">
        <f t="shared" si="26"/>
        <v>0</v>
      </c>
      <c r="R108" s="253">
        <f t="shared" si="27"/>
        <v>0</v>
      </c>
      <c r="S108" s="251">
        <f>SUMIFS('tuot-rehukirjanpito'!D:D,'tuot-rehukirjanpito'!A:A,A108)</f>
        <v>0</v>
      </c>
      <c r="T108" s="254">
        <f t="shared" si="35"/>
        <v>1098.9000000000001</v>
      </c>
      <c r="U108" s="254">
        <f t="shared" si="41"/>
        <v>1098.8999999999999</v>
      </c>
      <c r="V108" s="252">
        <f t="shared" si="38"/>
        <v>-116483.39999999979</v>
      </c>
      <c r="W108" s="255">
        <f t="shared" si="28"/>
        <v>-105.99999999999983</v>
      </c>
      <c r="X108" s="256" t="str">
        <f t="shared" si="39"/>
        <v/>
      </c>
      <c r="Y108" s="256" t="str">
        <f t="shared" si="40"/>
        <v/>
      </c>
      <c r="Z108" s="224" t="str">
        <f>IF(IFERROR(INDEX('tuot-rehukirjanpito'!I:I,MATCH(A108,'tuot-rehukirjanpito'!G:G,0)),)=0,"",INDEX('tuot-rehukirjanpito'!I:I,MATCH(A108,'tuot-rehukirjanpito'!G:G,0)))</f>
        <v/>
      </c>
      <c r="AA108" s="224">
        <f>SUMIFS('tuot-INFO'!$K$10:$K$115,'tuot-INFO'!$A$10:$A$115,'tuot-PVÄ'!B108)</f>
        <v>60.9</v>
      </c>
      <c r="AB108" s="224">
        <f>SUMIFS('rehu-vesi-INFO'!$R:$R,'rehu-vesi-INFO'!$A:$A,'tuot-PVÄ'!B108)</f>
        <v>1659</v>
      </c>
      <c r="AC108" s="224">
        <f>SUMIFS('rehu-vesi-INFO'!$S:$S,'rehu-vesi-INFO'!$A:$A,'tuot-PVÄ'!B108)</f>
        <v>1761</v>
      </c>
      <c r="AD108" s="224">
        <f t="shared" si="30"/>
        <v>102</v>
      </c>
      <c r="AE108" s="224">
        <f t="shared" si="31"/>
        <v>0</v>
      </c>
      <c r="AF108" s="224">
        <f t="shared" si="32"/>
        <v>165.9</v>
      </c>
      <c r="AG108" s="224">
        <f t="shared" si="33"/>
        <v>10.199999999999999</v>
      </c>
      <c r="AH108" s="257">
        <f t="shared" si="36"/>
        <v>0</v>
      </c>
      <c r="AI108" s="258">
        <f t="shared" si="37"/>
        <v>0</v>
      </c>
      <c r="AJ108" s="55">
        <f>SUMIFS('tuot-INFO'!W:W,'tuot-INFO'!$A:$A,'tuot-PVÄ'!B108)</f>
        <v>89.28</v>
      </c>
      <c r="AK108" s="55">
        <f>SUMIFS('tuot-INFO'!X:X,'tuot-INFO'!$A:$A,'tuot-PVÄ'!B108)</f>
        <v>9.5999999999999943</v>
      </c>
    </row>
    <row r="109" spans="1:37" x14ac:dyDescent="0.25">
      <c r="A109" s="169">
        <f t="shared" si="34"/>
        <v>42595</v>
      </c>
      <c r="B109" s="23">
        <f>ROUNDUP((A109-Yleistiedot!$B$4)/7,0)</f>
        <v>33</v>
      </c>
      <c r="C109" s="16"/>
      <c r="D109" s="25"/>
      <c r="E109" s="25"/>
      <c r="F109" s="25"/>
      <c r="G109" s="25"/>
      <c r="H109" s="25"/>
      <c r="I109" s="65">
        <f t="shared" si="29"/>
        <v>0</v>
      </c>
      <c r="J109" s="26"/>
      <c r="K109" s="25"/>
      <c r="L109" s="16"/>
      <c r="M109" s="16"/>
      <c r="N109" s="25"/>
      <c r="O109" s="176"/>
      <c r="P109" s="252">
        <f t="shared" si="25"/>
        <v>9990</v>
      </c>
      <c r="Q109" s="253">
        <f t="shared" si="26"/>
        <v>0</v>
      </c>
      <c r="R109" s="253">
        <f t="shared" si="27"/>
        <v>0</v>
      </c>
      <c r="S109" s="251">
        <f>SUMIFS('tuot-rehukirjanpito'!D:D,'tuot-rehukirjanpito'!A:A,A109)</f>
        <v>0</v>
      </c>
      <c r="T109" s="254">
        <f t="shared" si="35"/>
        <v>1098.9000000000001</v>
      </c>
      <c r="U109" s="254">
        <f t="shared" si="41"/>
        <v>1098.8999999999999</v>
      </c>
      <c r="V109" s="252">
        <f t="shared" si="38"/>
        <v>-117582.29999999978</v>
      </c>
      <c r="W109" s="255">
        <f t="shared" si="28"/>
        <v>-106.99999999999982</v>
      </c>
      <c r="X109" s="256" t="str">
        <f t="shared" si="39"/>
        <v/>
      </c>
      <c r="Y109" s="256" t="str">
        <f t="shared" si="40"/>
        <v/>
      </c>
      <c r="Z109" s="224" t="str">
        <f>IF(IFERROR(INDEX('tuot-rehukirjanpito'!I:I,MATCH(A109,'tuot-rehukirjanpito'!G:G,0)),)=0,"",INDEX('tuot-rehukirjanpito'!I:I,MATCH(A109,'tuot-rehukirjanpito'!G:G,0)))</f>
        <v/>
      </c>
      <c r="AA109" s="224">
        <f>SUMIFS('tuot-INFO'!$K$10:$K$115,'tuot-INFO'!$A$10:$A$115,'tuot-PVÄ'!B109)</f>
        <v>61.3</v>
      </c>
      <c r="AB109" s="224">
        <f>SUMIFS('rehu-vesi-INFO'!$R:$R,'rehu-vesi-INFO'!$A:$A,'tuot-PVÄ'!B109)</f>
        <v>1661</v>
      </c>
      <c r="AC109" s="224">
        <f>SUMIFS('rehu-vesi-INFO'!$S:$S,'rehu-vesi-INFO'!$A:$A,'tuot-PVÄ'!B109)</f>
        <v>1764</v>
      </c>
      <c r="AD109" s="224">
        <f t="shared" si="30"/>
        <v>103</v>
      </c>
      <c r="AE109" s="224">
        <f t="shared" si="31"/>
        <v>0</v>
      </c>
      <c r="AF109" s="224">
        <f t="shared" si="32"/>
        <v>166.1</v>
      </c>
      <c r="AG109" s="224">
        <f t="shared" si="33"/>
        <v>10.3</v>
      </c>
      <c r="AH109" s="257">
        <f t="shared" si="36"/>
        <v>0</v>
      </c>
      <c r="AI109" s="258">
        <f t="shared" si="37"/>
        <v>0</v>
      </c>
      <c r="AJ109" s="55">
        <f>SUMIFS('tuot-INFO'!W:W,'tuot-INFO'!$A:$A,'tuot-PVÄ'!B109)</f>
        <v>89.28</v>
      </c>
      <c r="AK109" s="55">
        <f>SUMIFS('tuot-INFO'!X:X,'tuot-INFO'!$A:$A,'tuot-PVÄ'!B109)</f>
        <v>9.5999999999999943</v>
      </c>
    </row>
    <row r="110" spans="1:37" x14ac:dyDescent="0.25">
      <c r="A110" s="169">
        <f t="shared" si="34"/>
        <v>42596</v>
      </c>
      <c r="B110" s="23">
        <f>ROUNDUP((A110-Yleistiedot!$B$4)/7,0)</f>
        <v>33</v>
      </c>
      <c r="C110" s="16"/>
      <c r="D110" s="25"/>
      <c r="E110" s="25"/>
      <c r="F110" s="25"/>
      <c r="G110" s="25"/>
      <c r="H110" s="25"/>
      <c r="I110" s="65">
        <f t="shared" si="29"/>
        <v>0</v>
      </c>
      <c r="J110" s="26"/>
      <c r="K110" s="25"/>
      <c r="L110" s="16"/>
      <c r="M110" s="16"/>
      <c r="N110" s="25"/>
      <c r="O110" s="30"/>
      <c r="P110" s="252">
        <f t="shared" si="25"/>
        <v>9990</v>
      </c>
      <c r="Q110" s="253">
        <f t="shared" si="26"/>
        <v>0</v>
      </c>
      <c r="R110" s="253">
        <f t="shared" si="27"/>
        <v>0</v>
      </c>
      <c r="S110" s="251">
        <f>SUMIFS('tuot-rehukirjanpito'!D:D,'tuot-rehukirjanpito'!A:A,A110)</f>
        <v>0</v>
      </c>
      <c r="T110" s="254">
        <f t="shared" si="35"/>
        <v>1098.9000000000001</v>
      </c>
      <c r="U110" s="254">
        <f t="shared" si="41"/>
        <v>1098.8999999999999</v>
      </c>
      <c r="V110" s="252">
        <f t="shared" si="38"/>
        <v>-118681.19999999978</v>
      </c>
      <c r="W110" s="255">
        <f t="shared" si="28"/>
        <v>-107.99999999999982</v>
      </c>
      <c r="X110" s="256" t="str">
        <f t="shared" si="39"/>
        <v/>
      </c>
      <c r="Y110" s="256" t="str">
        <f t="shared" si="40"/>
        <v/>
      </c>
      <c r="Z110" s="224" t="str">
        <f>IF(IFERROR(INDEX('tuot-rehukirjanpito'!I:I,MATCH(A110,'tuot-rehukirjanpito'!G:G,0)),)=0,"",INDEX('tuot-rehukirjanpito'!I:I,MATCH(A110,'tuot-rehukirjanpito'!G:G,0)))</f>
        <v/>
      </c>
      <c r="AA110" s="224">
        <f>SUMIFS('tuot-INFO'!$K$10:$K$115,'tuot-INFO'!$A$10:$A$115,'tuot-PVÄ'!B110)</f>
        <v>61.3</v>
      </c>
      <c r="AB110" s="224">
        <f>SUMIFS('rehu-vesi-INFO'!$R:$R,'rehu-vesi-INFO'!$A:$A,'tuot-PVÄ'!B110)</f>
        <v>1661</v>
      </c>
      <c r="AC110" s="224">
        <f>SUMIFS('rehu-vesi-INFO'!$S:$S,'rehu-vesi-INFO'!$A:$A,'tuot-PVÄ'!B110)</f>
        <v>1764</v>
      </c>
      <c r="AD110" s="224">
        <f t="shared" si="30"/>
        <v>103</v>
      </c>
      <c r="AE110" s="224">
        <f t="shared" si="31"/>
        <v>0</v>
      </c>
      <c r="AF110" s="224">
        <f t="shared" si="32"/>
        <v>166.1</v>
      </c>
      <c r="AG110" s="224">
        <f t="shared" si="33"/>
        <v>10.3</v>
      </c>
      <c r="AH110" s="257">
        <f t="shared" si="36"/>
        <v>0</v>
      </c>
      <c r="AI110" s="258">
        <f t="shared" si="37"/>
        <v>0</v>
      </c>
      <c r="AJ110" s="55">
        <f>SUMIFS('tuot-INFO'!W:W,'tuot-INFO'!$A:$A,'tuot-PVÄ'!B110)</f>
        <v>89.28</v>
      </c>
      <c r="AK110" s="55">
        <f>SUMIFS('tuot-INFO'!X:X,'tuot-INFO'!$A:$A,'tuot-PVÄ'!B110)</f>
        <v>9.5999999999999943</v>
      </c>
    </row>
    <row r="111" spans="1:37" x14ac:dyDescent="0.25">
      <c r="A111" s="169">
        <f t="shared" si="34"/>
        <v>42597</v>
      </c>
      <c r="B111" s="23">
        <f>ROUNDUP((A111-Yleistiedot!$B$4)/7,0)</f>
        <v>33</v>
      </c>
      <c r="C111" s="16"/>
      <c r="D111" s="25"/>
      <c r="E111" s="25"/>
      <c r="F111" s="25"/>
      <c r="G111" s="25"/>
      <c r="H111" s="25"/>
      <c r="I111" s="65">
        <f t="shared" si="29"/>
        <v>0</v>
      </c>
      <c r="J111" s="26"/>
      <c r="K111" s="25"/>
      <c r="L111" s="16"/>
      <c r="M111" s="16"/>
      <c r="N111" s="25"/>
      <c r="O111" s="30"/>
      <c r="P111" s="252">
        <f t="shared" si="25"/>
        <v>9990</v>
      </c>
      <c r="Q111" s="253">
        <f t="shared" si="26"/>
        <v>0</v>
      </c>
      <c r="R111" s="253">
        <f t="shared" si="27"/>
        <v>0</v>
      </c>
      <c r="S111" s="251">
        <f>SUMIFS('tuot-rehukirjanpito'!D:D,'tuot-rehukirjanpito'!A:A,A111)</f>
        <v>0</v>
      </c>
      <c r="T111" s="254">
        <f t="shared" si="35"/>
        <v>1098.9000000000001</v>
      </c>
      <c r="U111" s="254">
        <f t="shared" si="41"/>
        <v>1098.8999999999999</v>
      </c>
      <c r="V111" s="252">
        <f t="shared" si="38"/>
        <v>-119780.09999999977</v>
      </c>
      <c r="W111" s="255">
        <f t="shared" si="28"/>
        <v>-108.9999999999998</v>
      </c>
      <c r="X111" s="256" t="str">
        <f t="shared" si="39"/>
        <v/>
      </c>
      <c r="Y111" s="256" t="str">
        <f t="shared" si="40"/>
        <v/>
      </c>
      <c r="Z111" s="224" t="str">
        <f>IF(IFERROR(INDEX('tuot-rehukirjanpito'!I:I,MATCH(A111,'tuot-rehukirjanpito'!G:G,0)),)=0,"",INDEX('tuot-rehukirjanpito'!I:I,MATCH(A111,'tuot-rehukirjanpito'!G:G,0)))</f>
        <v/>
      </c>
      <c r="AA111" s="224">
        <f>SUMIFS('tuot-INFO'!$K$10:$K$115,'tuot-INFO'!$A$10:$A$115,'tuot-PVÄ'!B111)</f>
        <v>61.3</v>
      </c>
      <c r="AB111" s="224">
        <f>SUMIFS('rehu-vesi-INFO'!$R:$R,'rehu-vesi-INFO'!$A:$A,'tuot-PVÄ'!B111)</f>
        <v>1661</v>
      </c>
      <c r="AC111" s="224">
        <f>SUMIFS('rehu-vesi-INFO'!$S:$S,'rehu-vesi-INFO'!$A:$A,'tuot-PVÄ'!B111)</f>
        <v>1764</v>
      </c>
      <c r="AD111" s="224">
        <f t="shared" si="30"/>
        <v>103</v>
      </c>
      <c r="AE111" s="224">
        <f t="shared" si="31"/>
        <v>0</v>
      </c>
      <c r="AF111" s="224">
        <f t="shared" si="32"/>
        <v>166.1</v>
      </c>
      <c r="AG111" s="224">
        <f t="shared" si="33"/>
        <v>10.3</v>
      </c>
      <c r="AH111" s="257">
        <f t="shared" si="36"/>
        <v>0</v>
      </c>
      <c r="AI111" s="258">
        <f t="shared" si="37"/>
        <v>0</v>
      </c>
      <c r="AJ111" s="55">
        <f>SUMIFS('tuot-INFO'!W:W,'tuot-INFO'!$A:$A,'tuot-PVÄ'!B111)</f>
        <v>89.28</v>
      </c>
      <c r="AK111" s="55">
        <f>SUMIFS('tuot-INFO'!X:X,'tuot-INFO'!$A:$A,'tuot-PVÄ'!B111)</f>
        <v>9.5999999999999943</v>
      </c>
    </row>
    <row r="112" spans="1:37" x14ac:dyDescent="0.25">
      <c r="A112" s="169">
        <f t="shared" si="34"/>
        <v>42598</v>
      </c>
      <c r="B112" s="23">
        <f>ROUNDUP((A112-Yleistiedot!$B$4)/7,0)</f>
        <v>33</v>
      </c>
      <c r="C112" s="16"/>
      <c r="D112" s="25"/>
      <c r="E112" s="25"/>
      <c r="F112" s="25"/>
      <c r="G112" s="25"/>
      <c r="H112" s="25"/>
      <c r="I112" s="65">
        <f t="shared" si="29"/>
        <v>0</v>
      </c>
      <c r="J112" s="26"/>
      <c r="K112" s="25"/>
      <c r="L112" s="16"/>
      <c r="M112" s="16"/>
      <c r="N112" s="25"/>
      <c r="O112" s="176"/>
      <c r="P112" s="252">
        <f t="shared" si="25"/>
        <v>9990</v>
      </c>
      <c r="Q112" s="253">
        <f t="shared" si="26"/>
        <v>0</v>
      </c>
      <c r="R112" s="253">
        <f t="shared" si="27"/>
        <v>0</v>
      </c>
      <c r="S112" s="251">
        <f>SUMIFS('tuot-rehukirjanpito'!D:D,'tuot-rehukirjanpito'!A:A,A112)</f>
        <v>0</v>
      </c>
      <c r="T112" s="254">
        <f t="shared" si="35"/>
        <v>1098.9000000000001</v>
      </c>
      <c r="U112" s="254">
        <f t="shared" si="41"/>
        <v>1098.8999999999999</v>
      </c>
      <c r="V112" s="252">
        <f t="shared" si="38"/>
        <v>-120878.99999999977</v>
      </c>
      <c r="W112" s="255">
        <f t="shared" si="28"/>
        <v>-109.9999999999998</v>
      </c>
      <c r="X112" s="256" t="str">
        <f t="shared" si="39"/>
        <v/>
      </c>
      <c r="Y112" s="256" t="str">
        <f t="shared" si="40"/>
        <v/>
      </c>
      <c r="Z112" s="224" t="str">
        <f>IF(IFERROR(INDEX('tuot-rehukirjanpito'!I:I,MATCH(A112,'tuot-rehukirjanpito'!G:G,0)),)=0,"",INDEX('tuot-rehukirjanpito'!I:I,MATCH(A112,'tuot-rehukirjanpito'!G:G,0)))</f>
        <v/>
      </c>
      <c r="AA112" s="224">
        <f>SUMIFS('tuot-INFO'!$K$10:$K$115,'tuot-INFO'!$A$10:$A$115,'tuot-PVÄ'!B112)</f>
        <v>61.3</v>
      </c>
      <c r="AB112" s="224">
        <f>SUMIFS('rehu-vesi-INFO'!$R:$R,'rehu-vesi-INFO'!$A:$A,'tuot-PVÄ'!B112)</f>
        <v>1661</v>
      </c>
      <c r="AC112" s="224">
        <f>SUMIFS('rehu-vesi-INFO'!$S:$S,'rehu-vesi-INFO'!$A:$A,'tuot-PVÄ'!B112)</f>
        <v>1764</v>
      </c>
      <c r="AD112" s="224">
        <f t="shared" si="30"/>
        <v>103</v>
      </c>
      <c r="AE112" s="224">
        <f t="shared" si="31"/>
        <v>0</v>
      </c>
      <c r="AF112" s="224">
        <f t="shared" si="32"/>
        <v>166.1</v>
      </c>
      <c r="AG112" s="224">
        <f t="shared" si="33"/>
        <v>10.3</v>
      </c>
      <c r="AH112" s="257">
        <f t="shared" si="36"/>
        <v>0</v>
      </c>
      <c r="AI112" s="258">
        <f t="shared" si="37"/>
        <v>0</v>
      </c>
      <c r="AJ112" s="55">
        <f>SUMIFS('tuot-INFO'!W:W,'tuot-INFO'!$A:$A,'tuot-PVÄ'!B112)</f>
        <v>89.28</v>
      </c>
      <c r="AK112" s="55">
        <f>SUMIFS('tuot-INFO'!X:X,'tuot-INFO'!$A:$A,'tuot-PVÄ'!B112)</f>
        <v>9.5999999999999943</v>
      </c>
    </row>
    <row r="113" spans="1:37" x14ac:dyDescent="0.25">
      <c r="A113" s="169">
        <f t="shared" si="34"/>
        <v>42599</v>
      </c>
      <c r="B113" s="23">
        <f>ROUNDUP((A113-Yleistiedot!$B$4)/7,0)</f>
        <v>33</v>
      </c>
      <c r="C113" s="16"/>
      <c r="D113" s="25"/>
      <c r="E113" s="25"/>
      <c r="F113" s="25"/>
      <c r="G113" s="25"/>
      <c r="H113" s="25"/>
      <c r="I113" s="65">
        <f t="shared" si="29"/>
        <v>0</v>
      </c>
      <c r="J113" s="26"/>
      <c r="K113" s="25"/>
      <c r="L113" s="16"/>
      <c r="M113" s="16"/>
      <c r="N113" s="25"/>
      <c r="O113" s="30"/>
      <c r="P113" s="252">
        <f t="shared" si="25"/>
        <v>9990</v>
      </c>
      <c r="Q113" s="253">
        <f t="shared" si="26"/>
        <v>0</v>
      </c>
      <c r="R113" s="253">
        <f t="shared" si="27"/>
        <v>0</v>
      </c>
      <c r="S113" s="251">
        <f>SUMIFS('tuot-rehukirjanpito'!D:D,'tuot-rehukirjanpito'!A:A,A113)</f>
        <v>0</v>
      </c>
      <c r="T113" s="254">
        <f t="shared" si="35"/>
        <v>1098.9000000000001</v>
      </c>
      <c r="U113" s="254">
        <f t="shared" si="41"/>
        <v>1098.8999999999999</v>
      </c>
      <c r="V113" s="252">
        <f t="shared" si="38"/>
        <v>-121977.89999999976</v>
      </c>
      <c r="W113" s="255">
        <f t="shared" si="28"/>
        <v>-110.9999999999998</v>
      </c>
      <c r="X113" s="256" t="str">
        <f t="shared" si="39"/>
        <v/>
      </c>
      <c r="Y113" s="256" t="str">
        <f t="shared" si="40"/>
        <v/>
      </c>
      <c r="Z113" s="224" t="str">
        <f>IF(IFERROR(INDEX('tuot-rehukirjanpito'!I:I,MATCH(A113,'tuot-rehukirjanpito'!G:G,0)),)=0,"",INDEX('tuot-rehukirjanpito'!I:I,MATCH(A113,'tuot-rehukirjanpito'!G:G,0)))</f>
        <v/>
      </c>
      <c r="AA113" s="224">
        <f>SUMIFS('tuot-INFO'!$K$10:$K$115,'tuot-INFO'!$A$10:$A$115,'tuot-PVÄ'!B113)</f>
        <v>61.3</v>
      </c>
      <c r="AB113" s="224">
        <f>SUMIFS('rehu-vesi-INFO'!$R:$R,'rehu-vesi-INFO'!$A:$A,'tuot-PVÄ'!B113)</f>
        <v>1661</v>
      </c>
      <c r="AC113" s="224">
        <f>SUMIFS('rehu-vesi-INFO'!$S:$S,'rehu-vesi-INFO'!$A:$A,'tuot-PVÄ'!B113)</f>
        <v>1764</v>
      </c>
      <c r="AD113" s="224">
        <f t="shared" si="30"/>
        <v>103</v>
      </c>
      <c r="AE113" s="224">
        <f t="shared" si="31"/>
        <v>0</v>
      </c>
      <c r="AF113" s="224">
        <f t="shared" si="32"/>
        <v>166.1</v>
      </c>
      <c r="AG113" s="224">
        <f t="shared" si="33"/>
        <v>10.3</v>
      </c>
      <c r="AH113" s="257">
        <f t="shared" si="36"/>
        <v>0</v>
      </c>
      <c r="AI113" s="258">
        <f t="shared" si="37"/>
        <v>0</v>
      </c>
      <c r="AJ113" s="55">
        <f>SUMIFS('tuot-INFO'!W:W,'tuot-INFO'!$A:$A,'tuot-PVÄ'!B113)</f>
        <v>89.28</v>
      </c>
      <c r="AK113" s="55">
        <f>SUMIFS('tuot-INFO'!X:X,'tuot-INFO'!$A:$A,'tuot-PVÄ'!B113)</f>
        <v>9.5999999999999943</v>
      </c>
    </row>
    <row r="114" spans="1:37" x14ac:dyDescent="0.25">
      <c r="A114" s="169">
        <f t="shared" si="34"/>
        <v>42600</v>
      </c>
      <c r="B114" s="23">
        <f>ROUNDUP((A114-Yleistiedot!$B$4)/7,0)</f>
        <v>33</v>
      </c>
      <c r="C114" s="16"/>
      <c r="D114" s="25"/>
      <c r="E114" s="25"/>
      <c r="F114" s="25"/>
      <c r="G114" s="25"/>
      <c r="H114" s="25"/>
      <c r="I114" s="65">
        <f t="shared" si="29"/>
        <v>0</v>
      </c>
      <c r="J114" s="26"/>
      <c r="K114" s="25"/>
      <c r="L114" s="16"/>
      <c r="M114" s="16"/>
      <c r="N114" s="25"/>
      <c r="O114" s="30"/>
      <c r="P114" s="252">
        <f t="shared" si="25"/>
        <v>9990</v>
      </c>
      <c r="Q114" s="253">
        <f t="shared" si="26"/>
        <v>0</v>
      </c>
      <c r="R114" s="253">
        <f t="shared" si="27"/>
        <v>0</v>
      </c>
      <c r="S114" s="251">
        <f>SUMIFS('tuot-rehukirjanpito'!D:D,'tuot-rehukirjanpito'!A:A,A114)</f>
        <v>0</v>
      </c>
      <c r="T114" s="254">
        <f t="shared" si="35"/>
        <v>1098.9000000000001</v>
      </c>
      <c r="U114" s="254">
        <f t="shared" si="41"/>
        <v>1098.8999999999999</v>
      </c>
      <c r="V114" s="252">
        <f t="shared" si="38"/>
        <v>-123076.79999999976</v>
      </c>
      <c r="W114" s="255">
        <f t="shared" si="28"/>
        <v>-111.99999999999979</v>
      </c>
      <c r="X114" s="256" t="str">
        <f t="shared" si="39"/>
        <v/>
      </c>
      <c r="Y114" s="256" t="str">
        <f t="shared" si="40"/>
        <v/>
      </c>
      <c r="Z114" s="224" t="str">
        <f>IF(IFERROR(INDEX('tuot-rehukirjanpito'!I:I,MATCH(A114,'tuot-rehukirjanpito'!G:G,0)),)=0,"",INDEX('tuot-rehukirjanpito'!I:I,MATCH(A114,'tuot-rehukirjanpito'!G:G,0)))</f>
        <v/>
      </c>
      <c r="AA114" s="224">
        <f>SUMIFS('tuot-INFO'!$K$10:$K$115,'tuot-INFO'!$A$10:$A$115,'tuot-PVÄ'!B114)</f>
        <v>61.3</v>
      </c>
      <c r="AB114" s="224">
        <f>SUMIFS('rehu-vesi-INFO'!$R:$R,'rehu-vesi-INFO'!$A:$A,'tuot-PVÄ'!B114)</f>
        <v>1661</v>
      </c>
      <c r="AC114" s="224">
        <f>SUMIFS('rehu-vesi-INFO'!$S:$S,'rehu-vesi-INFO'!$A:$A,'tuot-PVÄ'!B114)</f>
        <v>1764</v>
      </c>
      <c r="AD114" s="224">
        <f t="shared" si="30"/>
        <v>103</v>
      </c>
      <c r="AE114" s="224">
        <f t="shared" si="31"/>
        <v>0</v>
      </c>
      <c r="AF114" s="224">
        <f t="shared" si="32"/>
        <v>166.1</v>
      </c>
      <c r="AG114" s="224">
        <f t="shared" si="33"/>
        <v>10.3</v>
      </c>
      <c r="AH114" s="257">
        <f t="shared" si="36"/>
        <v>0</v>
      </c>
      <c r="AI114" s="258">
        <f t="shared" si="37"/>
        <v>0</v>
      </c>
      <c r="AJ114" s="55">
        <f>SUMIFS('tuot-INFO'!W:W,'tuot-INFO'!$A:$A,'tuot-PVÄ'!B114)</f>
        <v>89.28</v>
      </c>
      <c r="AK114" s="55">
        <f>SUMIFS('tuot-INFO'!X:X,'tuot-INFO'!$A:$A,'tuot-PVÄ'!B114)</f>
        <v>9.5999999999999943</v>
      </c>
    </row>
    <row r="115" spans="1:37" x14ac:dyDescent="0.25">
      <c r="A115" s="169">
        <f t="shared" si="34"/>
        <v>42601</v>
      </c>
      <c r="B115" s="23">
        <f>ROUNDUP((A115-Yleistiedot!$B$4)/7,0)</f>
        <v>33</v>
      </c>
      <c r="C115" s="16"/>
      <c r="D115" s="25"/>
      <c r="E115" s="25"/>
      <c r="F115" s="25"/>
      <c r="G115" s="25"/>
      <c r="H115" s="25"/>
      <c r="I115" s="65">
        <f t="shared" si="29"/>
        <v>0</v>
      </c>
      <c r="J115" s="26"/>
      <c r="K115" s="25"/>
      <c r="L115" s="16"/>
      <c r="M115" s="16"/>
      <c r="N115" s="25"/>
      <c r="O115" s="30"/>
      <c r="P115" s="252">
        <f t="shared" si="25"/>
        <v>9990</v>
      </c>
      <c r="Q115" s="253">
        <f t="shared" si="26"/>
        <v>0</v>
      </c>
      <c r="R115" s="253">
        <f t="shared" si="27"/>
        <v>0</v>
      </c>
      <c r="S115" s="251">
        <f>SUMIFS('tuot-rehukirjanpito'!D:D,'tuot-rehukirjanpito'!A:A,A115)</f>
        <v>0</v>
      </c>
      <c r="T115" s="254">
        <f t="shared" si="35"/>
        <v>1098.9000000000001</v>
      </c>
      <c r="U115" s="254">
        <f t="shared" si="41"/>
        <v>1098.8999999999999</v>
      </c>
      <c r="V115" s="252">
        <f t="shared" si="38"/>
        <v>-124175.69999999975</v>
      </c>
      <c r="W115" s="255">
        <f t="shared" si="28"/>
        <v>-112.99999999999979</v>
      </c>
      <c r="X115" s="256" t="str">
        <f t="shared" si="39"/>
        <v/>
      </c>
      <c r="Y115" s="256" t="str">
        <f t="shared" si="40"/>
        <v/>
      </c>
      <c r="Z115" s="224" t="str">
        <f>IF(IFERROR(INDEX('tuot-rehukirjanpito'!I:I,MATCH(A115,'tuot-rehukirjanpito'!G:G,0)),)=0,"",INDEX('tuot-rehukirjanpito'!I:I,MATCH(A115,'tuot-rehukirjanpito'!G:G,0)))</f>
        <v/>
      </c>
      <c r="AA115" s="224">
        <f>SUMIFS('tuot-INFO'!$K$10:$K$115,'tuot-INFO'!$A$10:$A$115,'tuot-PVÄ'!B115)</f>
        <v>61.3</v>
      </c>
      <c r="AB115" s="224">
        <f>SUMIFS('rehu-vesi-INFO'!$R:$R,'rehu-vesi-INFO'!$A:$A,'tuot-PVÄ'!B115)</f>
        <v>1661</v>
      </c>
      <c r="AC115" s="224">
        <f>SUMIFS('rehu-vesi-INFO'!$S:$S,'rehu-vesi-INFO'!$A:$A,'tuot-PVÄ'!B115)</f>
        <v>1764</v>
      </c>
      <c r="AD115" s="224">
        <f t="shared" si="30"/>
        <v>103</v>
      </c>
      <c r="AE115" s="224">
        <f t="shared" si="31"/>
        <v>0</v>
      </c>
      <c r="AF115" s="224">
        <f t="shared" si="32"/>
        <v>166.1</v>
      </c>
      <c r="AG115" s="224">
        <f t="shared" si="33"/>
        <v>10.3</v>
      </c>
      <c r="AH115" s="257">
        <f t="shared" si="36"/>
        <v>0</v>
      </c>
      <c r="AI115" s="258">
        <f t="shared" si="37"/>
        <v>0</v>
      </c>
      <c r="AJ115" s="55">
        <f>SUMIFS('tuot-INFO'!W:W,'tuot-INFO'!$A:$A,'tuot-PVÄ'!B115)</f>
        <v>89.28</v>
      </c>
      <c r="AK115" s="55">
        <f>SUMIFS('tuot-INFO'!X:X,'tuot-INFO'!$A:$A,'tuot-PVÄ'!B115)</f>
        <v>9.5999999999999943</v>
      </c>
    </row>
    <row r="116" spans="1:37" x14ac:dyDescent="0.25">
      <c r="A116" s="169">
        <f t="shared" si="34"/>
        <v>42602</v>
      </c>
      <c r="B116" s="23">
        <f>ROUNDUP((A116-Yleistiedot!$B$4)/7,0)</f>
        <v>34</v>
      </c>
      <c r="C116" s="16"/>
      <c r="D116" s="25"/>
      <c r="E116" s="25"/>
      <c r="F116" s="25"/>
      <c r="G116" s="25"/>
      <c r="H116" s="25"/>
      <c r="I116" s="65">
        <f t="shared" si="29"/>
        <v>0</v>
      </c>
      <c r="J116" s="26"/>
      <c r="K116" s="25"/>
      <c r="L116" s="16"/>
      <c r="M116" s="16"/>
      <c r="N116" s="25"/>
      <c r="O116" s="30"/>
      <c r="P116" s="252">
        <f t="shared" si="25"/>
        <v>9990</v>
      </c>
      <c r="Q116" s="253">
        <f t="shared" si="26"/>
        <v>0</v>
      </c>
      <c r="R116" s="253">
        <f t="shared" si="27"/>
        <v>0</v>
      </c>
      <c r="S116" s="251">
        <f>SUMIFS('tuot-rehukirjanpito'!D:D,'tuot-rehukirjanpito'!A:A,A116)</f>
        <v>0</v>
      </c>
      <c r="T116" s="254">
        <f t="shared" si="35"/>
        <v>1098.9000000000001</v>
      </c>
      <c r="U116" s="254">
        <f t="shared" si="41"/>
        <v>1098.8999999999999</v>
      </c>
      <c r="V116" s="252">
        <f t="shared" si="38"/>
        <v>-125274.59999999974</v>
      </c>
      <c r="W116" s="255">
        <f t="shared" si="28"/>
        <v>-113.99999999999979</v>
      </c>
      <c r="X116" s="256" t="str">
        <f t="shared" si="39"/>
        <v/>
      </c>
      <c r="Y116" s="256" t="str">
        <f t="shared" si="40"/>
        <v/>
      </c>
      <c r="Z116" s="224" t="str">
        <f>IF(IFERROR(INDEX('tuot-rehukirjanpito'!I:I,MATCH(A116,'tuot-rehukirjanpito'!G:G,0)),)=0,"",INDEX('tuot-rehukirjanpito'!I:I,MATCH(A116,'tuot-rehukirjanpito'!G:G,0)))</f>
        <v/>
      </c>
      <c r="AA116" s="224">
        <f>SUMIFS('tuot-INFO'!$K$10:$K$115,'tuot-INFO'!$A$10:$A$115,'tuot-PVÄ'!B116)</f>
        <v>61.6</v>
      </c>
      <c r="AB116" s="224">
        <f>SUMIFS('rehu-vesi-INFO'!$R:$R,'rehu-vesi-INFO'!$A:$A,'tuot-PVÄ'!B116)</f>
        <v>1664</v>
      </c>
      <c r="AC116" s="224">
        <f>SUMIFS('rehu-vesi-INFO'!$S:$S,'rehu-vesi-INFO'!$A:$A,'tuot-PVÄ'!B116)</f>
        <v>1766</v>
      </c>
      <c r="AD116" s="224">
        <f t="shared" si="30"/>
        <v>102</v>
      </c>
      <c r="AE116" s="224">
        <f t="shared" si="31"/>
        <v>0</v>
      </c>
      <c r="AF116" s="224">
        <f t="shared" si="32"/>
        <v>166.4</v>
      </c>
      <c r="AG116" s="224">
        <f t="shared" si="33"/>
        <v>10.199999999999999</v>
      </c>
      <c r="AH116" s="257">
        <f t="shared" si="36"/>
        <v>0</v>
      </c>
      <c r="AI116" s="258">
        <f t="shared" si="37"/>
        <v>0</v>
      </c>
      <c r="AJ116" s="55">
        <f>SUMIFS('tuot-INFO'!W:W,'tuot-INFO'!$A:$A,'tuot-PVÄ'!B116)</f>
        <v>89.37299999999999</v>
      </c>
      <c r="AK116" s="55">
        <f>SUMIFS('tuot-INFO'!X:X,'tuot-INFO'!$A:$A,'tuot-PVÄ'!B116)</f>
        <v>9.61</v>
      </c>
    </row>
    <row r="117" spans="1:37" x14ac:dyDescent="0.25">
      <c r="A117" s="169">
        <f t="shared" si="34"/>
        <v>42603</v>
      </c>
      <c r="B117" s="23">
        <f>ROUNDUP((A117-Yleistiedot!$B$4)/7,0)</f>
        <v>34</v>
      </c>
      <c r="C117" s="16"/>
      <c r="D117" s="25"/>
      <c r="E117" s="25"/>
      <c r="F117" s="25"/>
      <c r="G117" s="25"/>
      <c r="H117" s="25"/>
      <c r="I117" s="65">
        <f t="shared" si="29"/>
        <v>0</v>
      </c>
      <c r="J117" s="26"/>
      <c r="K117" s="25"/>
      <c r="L117" s="16"/>
      <c r="M117" s="16"/>
      <c r="N117" s="25"/>
      <c r="O117" s="30"/>
      <c r="P117" s="252">
        <f t="shared" si="25"/>
        <v>9990</v>
      </c>
      <c r="Q117" s="253">
        <f t="shared" si="26"/>
        <v>0</v>
      </c>
      <c r="R117" s="253">
        <f t="shared" si="27"/>
        <v>0</v>
      </c>
      <c r="S117" s="251">
        <f>SUMIFS('tuot-rehukirjanpito'!D:D,'tuot-rehukirjanpito'!A:A,A117)</f>
        <v>0</v>
      </c>
      <c r="T117" s="254">
        <f t="shared" si="35"/>
        <v>1098.9000000000001</v>
      </c>
      <c r="U117" s="254">
        <f t="shared" si="41"/>
        <v>1098.8999999999999</v>
      </c>
      <c r="V117" s="252">
        <f t="shared" si="38"/>
        <v>-126373.49999999974</v>
      </c>
      <c r="W117" s="255">
        <f t="shared" si="28"/>
        <v>-114.99999999999977</v>
      </c>
      <c r="X117" s="256" t="str">
        <f t="shared" si="39"/>
        <v/>
      </c>
      <c r="Y117" s="256" t="str">
        <f t="shared" si="40"/>
        <v/>
      </c>
      <c r="Z117" s="224" t="str">
        <f>IF(IFERROR(INDEX('tuot-rehukirjanpito'!I:I,MATCH(A117,'tuot-rehukirjanpito'!G:G,0)),)=0,"",INDEX('tuot-rehukirjanpito'!I:I,MATCH(A117,'tuot-rehukirjanpito'!G:G,0)))</f>
        <v/>
      </c>
      <c r="AA117" s="224">
        <f>SUMIFS('tuot-INFO'!$K$10:$K$115,'tuot-INFO'!$A$10:$A$115,'tuot-PVÄ'!B117)</f>
        <v>61.6</v>
      </c>
      <c r="AB117" s="224">
        <f>SUMIFS('rehu-vesi-INFO'!$R:$R,'rehu-vesi-INFO'!$A:$A,'tuot-PVÄ'!B117)</f>
        <v>1664</v>
      </c>
      <c r="AC117" s="224">
        <f>SUMIFS('rehu-vesi-INFO'!$S:$S,'rehu-vesi-INFO'!$A:$A,'tuot-PVÄ'!B117)</f>
        <v>1766</v>
      </c>
      <c r="AD117" s="224">
        <f t="shared" si="30"/>
        <v>102</v>
      </c>
      <c r="AE117" s="224">
        <f t="shared" si="31"/>
        <v>0</v>
      </c>
      <c r="AF117" s="224">
        <f t="shared" si="32"/>
        <v>166.4</v>
      </c>
      <c r="AG117" s="224">
        <f t="shared" si="33"/>
        <v>10.199999999999999</v>
      </c>
      <c r="AH117" s="257">
        <f t="shared" si="36"/>
        <v>0</v>
      </c>
      <c r="AI117" s="258">
        <f t="shared" si="37"/>
        <v>0</v>
      </c>
      <c r="AJ117" s="55">
        <f>SUMIFS('tuot-INFO'!W:W,'tuot-INFO'!$A:$A,'tuot-PVÄ'!B117)</f>
        <v>89.37299999999999</v>
      </c>
      <c r="AK117" s="55">
        <f>SUMIFS('tuot-INFO'!X:X,'tuot-INFO'!$A:$A,'tuot-PVÄ'!B117)</f>
        <v>9.61</v>
      </c>
    </row>
    <row r="118" spans="1:37" x14ac:dyDescent="0.25">
      <c r="A118" s="169">
        <f t="shared" si="34"/>
        <v>42604</v>
      </c>
      <c r="B118" s="23">
        <f>ROUNDUP((A118-Yleistiedot!$B$4)/7,0)</f>
        <v>34</v>
      </c>
      <c r="C118" s="16"/>
      <c r="D118" s="25"/>
      <c r="E118" s="25"/>
      <c r="F118" s="25"/>
      <c r="G118" s="25"/>
      <c r="H118" s="25"/>
      <c r="I118" s="65">
        <f t="shared" si="29"/>
        <v>0</v>
      </c>
      <c r="J118" s="26"/>
      <c r="K118" s="25"/>
      <c r="L118" s="16"/>
      <c r="M118" s="16"/>
      <c r="N118" s="25"/>
      <c r="O118" s="30"/>
      <c r="P118" s="252">
        <f t="shared" si="25"/>
        <v>9990</v>
      </c>
      <c r="Q118" s="253">
        <f t="shared" si="26"/>
        <v>0</v>
      </c>
      <c r="R118" s="253">
        <f t="shared" si="27"/>
        <v>0</v>
      </c>
      <c r="S118" s="251">
        <f>SUMIFS('tuot-rehukirjanpito'!D:D,'tuot-rehukirjanpito'!A:A,A118)</f>
        <v>0</v>
      </c>
      <c r="T118" s="254">
        <f t="shared" si="35"/>
        <v>1098.9000000000001</v>
      </c>
      <c r="U118" s="254">
        <f t="shared" si="41"/>
        <v>1098.8999999999999</v>
      </c>
      <c r="V118" s="252">
        <f t="shared" si="38"/>
        <v>-127472.39999999973</v>
      </c>
      <c r="W118" s="255">
        <f t="shared" si="28"/>
        <v>-115.99999999999977</v>
      </c>
      <c r="X118" s="256" t="str">
        <f t="shared" si="39"/>
        <v/>
      </c>
      <c r="Y118" s="256" t="str">
        <f t="shared" si="40"/>
        <v/>
      </c>
      <c r="Z118" s="224" t="str">
        <f>IF(IFERROR(INDEX('tuot-rehukirjanpito'!I:I,MATCH(A118,'tuot-rehukirjanpito'!G:G,0)),)=0,"",INDEX('tuot-rehukirjanpito'!I:I,MATCH(A118,'tuot-rehukirjanpito'!G:G,0)))</f>
        <v/>
      </c>
      <c r="AA118" s="224">
        <f>SUMIFS('tuot-INFO'!$K$10:$K$115,'tuot-INFO'!$A$10:$A$115,'tuot-PVÄ'!B118)</f>
        <v>61.6</v>
      </c>
      <c r="AB118" s="224">
        <f>SUMIFS('rehu-vesi-INFO'!$R:$R,'rehu-vesi-INFO'!$A:$A,'tuot-PVÄ'!B118)</f>
        <v>1664</v>
      </c>
      <c r="AC118" s="224">
        <f>SUMIFS('rehu-vesi-INFO'!$S:$S,'rehu-vesi-INFO'!$A:$A,'tuot-PVÄ'!B118)</f>
        <v>1766</v>
      </c>
      <c r="AD118" s="224">
        <f t="shared" si="30"/>
        <v>102</v>
      </c>
      <c r="AE118" s="224">
        <f t="shared" si="31"/>
        <v>0</v>
      </c>
      <c r="AF118" s="224">
        <f t="shared" si="32"/>
        <v>166.4</v>
      </c>
      <c r="AG118" s="224">
        <f t="shared" si="33"/>
        <v>10.199999999999999</v>
      </c>
      <c r="AH118" s="257">
        <f t="shared" si="36"/>
        <v>0</v>
      </c>
      <c r="AI118" s="258">
        <f t="shared" si="37"/>
        <v>0</v>
      </c>
      <c r="AJ118" s="55">
        <f>SUMIFS('tuot-INFO'!W:W,'tuot-INFO'!$A:$A,'tuot-PVÄ'!B118)</f>
        <v>89.37299999999999</v>
      </c>
      <c r="AK118" s="55">
        <f>SUMIFS('tuot-INFO'!X:X,'tuot-INFO'!$A:$A,'tuot-PVÄ'!B118)</f>
        <v>9.61</v>
      </c>
    </row>
    <row r="119" spans="1:37" x14ac:dyDescent="0.25">
      <c r="A119" s="169">
        <f t="shared" si="34"/>
        <v>42605</v>
      </c>
      <c r="B119" s="23">
        <f>ROUNDUP((A119-Yleistiedot!$B$4)/7,0)</f>
        <v>34</v>
      </c>
      <c r="C119" s="16"/>
      <c r="D119" s="25"/>
      <c r="E119" s="25"/>
      <c r="F119" s="25"/>
      <c r="G119" s="25"/>
      <c r="H119" s="25"/>
      <c r="I119" s="65">
        <f t="shared" si="29"/>
        <v>0</v>
      </c>
      <c r="J119" s="26"/>
      <c r="K119" s="25"/>
      <c r="L119" s="16"/>
      <c r="M119" s="16"/>
      <c r="N119" s="25"/>
      <c r="O119" s="30"/>
      <c r="P119" s="252">
        <f t="shared" si="25"/>
        <v>9990</v>
      </c>
      <c r="Q119" s="253">
        <f t="shared" si="26"/>
        <v>0</v>
      </c>
      <c r="R119" s="253">
        <f t="shared" si="27"/>
        <v>0</v>
      </c>
      <c r="S119" s="251">
        <f>SUMIFS('tuot-rehukirjanpito'!D:D,'tuot-rehukirjanpito'!A:A,A119)</f>
        <v>0</v>
      </c>
      <c r="T119" s="254">
        <f t="shared" si="35"/>
        <v>1098.9000000000001</v>
      </c>
      <c r="U119" s="254">
        <f t="shared" si="41"/>
        <v>1098.8999999999999</v>
      </c>
      <c r="V119" s="252">
        <f t="shared" si="38"/>
        <v>-128571.29999999973</v>
      </c>
      <c r="W119" s="255">
        <f t="shared" si="28"/>
        <v>-116.99999999999977</v>
      </c>
      <c r="X119" s="256" t="str">
        <f t="shared" si="39"/>
        <v/>
      </c>
      <c r="Y119" s="256" t="str">
        <f t="shared" si="40"/>
        <v/>
      </c>
      <c r="Z119" s="224" t="str">
        <f>IF(IFERROR(INDEX('tuot-rehukirjanpito'!I:I,MATCH(A119,'tuot-rehukirjanpito'!G:G,0)),)=0,"",INDEX('tuot-rehukirjanpito'!I:I,MATCH(A119,'tuot-rehukirjanpito'!G:G,0)))</f>
        <v/>
      </c>
      <c r="AA119" s="224">
        <f>SUMIFS('tuot-INFO'!$K$10:$K$115,'tuot-INFO'!$A$10:$A$115,'tuot-PVÄ'!B119)</f>
        <v>61.6</v>
      </c>
      <c r="AB119" s="224">
        <f>SUMIFS('rehu-vesi-INFO'!$R:$R,'rehu-vesi-INFO'!$A:$A,'tuot-PVÄ'!B119)</f>
        <v>1664</v>
      </c>
      <c r="AC119" s="224">
        <f>SUMIFS('rehu-vesi-INFO'!$S:$S,'rehu-vesi-INFO'!$A:$A,'tuot-PVÄ'!B119)</f>
        <v>1766</v>
      </c>
      <c r="AD119" s="224">
        <f t="shared" si="30"/>
        <v>102</v>
      </c>
      <c r="AE119" s="224">
        <f t="shared" si="31"/>
        <v>0</v>
      </c>
      <c r="AF119" s="224">
        <f t="shared" si="32"/>
        <v>166.4</v>
      </c>
      <c r="AG119" s="224">
        <f t="shared" si="33"/>
        <v>10.199999999999999</v>
      </c>
      <c r="AH119" s="257">
        <f t="shared" si="36"/>
        <v>0</v>
      </c>
      <c r="AI119" s="258">
        <f t="shared" si="37"/>
        <v>0</v>
      </c>
      <c r="AJ119" s="55">
        <f>SUMIFS('tuot-INFO'!W:W,'tuot-INFO'!$A:$A,'tuot-PVÄ'!B119)</f>
        <v>89.37299999999999</v>
      </c>
      <c r="AK119" s="55">
        <f>SUMIFS('tuot-INFO'!X:X,'tuot-INFO'!$A:$A,'tuot-PVÄ'!B119)</f>
        <v>9.61</v>
      </c>
    </row>
    <row r="120" spans="1:37" x14ac:dyDescent="0.25">
      <c r="A120" s="169">
        <f t="shared" si="34"/>
        <v>42606</v>
      </c>
      <c r="B120" s="23">
        <f>ROUNDUP((A120-Yleistiedot!$B$4)/7,0)</f>
        <v>34</v>
      </c>
      <c r="C120" s="16"/>
      <c r="D120" s="25"/>
      <c r="E120" s="25"/>
      <c r="F120" s="25"/>
      <c r="G120" s="25"/>
      <c r="H120" s="25"/>
      <c r="I120" s="65">
        <f t="shared" si="29"/>
        <v>0</v>
      </c>
      <c r="J120" s="26"/>
      <c r="K120" s="25"/>
      <c r="L120" s="16"/>
      <c r="M120" s="16"/>
      <c r="N120" s="25"/>
      <c r="O120" s="30"/>
      <c r="P120" s="252">
        <f t="shared" ref="P120:P183" si="42">P119-C120</f>
        <v>9990</v>
      </c>
      <c r="Q120" s="253">
        <f t="shared" ref="Q120:Q183" si="43">D120/P120*100</f>
        <v>0</v>
      </c>
      <c r="R120" s="253">
        <f t="shared" ref="R120:R183" si="44">I120/P120*100</f>
        <v>0</v>
      </c>
      <c r="S120" s="251">
        <f>SUMIFS('tuot-rehukirjanpito'!D:D,'tuot-rehukirjanpito'!A:A,A120)</f>
        <v>0</v>
      </c>
      <c r="T120" s="254">
        <f t="shared" si="35"/>
        <v>1098.9000000000001</v>
      </c>
      <c r="U120" s="254">
        <f t="shared" si="41"/>
        <v>1098.8999999999999</v>
      </c>
      <c r="V120" s="252">
        <f t="shared" ref="V120:V183" si="45">V119+S120-T120</f>
        <v>-129670.19999999972</v>
      </c>
      <c r="W120" s="255">
        <f t="shared" si="28"/>
        <v>-117.99999999999976</v>
      </c>
      <c r="X120" s="256" t="str">
        <f t="shared" si="39"/>
        <v/>
      </c>
      <c r="Y120" s="256" t="str">
        <f t="shared" si="40"/>
        <v/>
      </c>
      <c r="Z120" s="224" t="str">
        <f>IF(IFERROR(INDEX('tuot-rehukirjanpito'!I:I,MATCH(A120,'tuot-rehukirjanpito'!G:G,0)),)=0,"",INDEX('tuot-rehukirjanpito'!I:I,MATCH(A120,'tuot-rehukirjanpito'!G:G,0)))</f>
        <v/>
      </c>
      <c r="AA120" s="224">
        <f>SUMIFS('tuot-INFO'!$K$10:$K$115,'tuot-INFO'!$A$10:$A$115,'tuot-PVÄ'!B120)</f>
        <v>61.6</v>
      </c>
      <c r="AB120" s="224">
        <f>SUMIFS('rehu-vesi-INFO'!$R:$R,'rehu-vesi-INFO'!$A:$A,'tuot-PVÄ'!B120)</f>
        <v>1664</v>
      </c>
      <c r="AC120" s="224">
        <f>SUMIFS('rehu-vesi-INFO'!$S:$S,'rehu-vesi-INFO'!$A:$A,'tuot-PVÄ'!B120)</f>
        <v>1766</v>
      </c>
      <c r="AD120" s="224">
        <f t="shared" si="30"/>
        <v>102</v>
      </c>
      <c r="AE120" s="224">
        <f t="shared" si="31"/>
        <v>0</v>
      </c>
      <c r="AF120" s="224">
        <f t="shared" si="32"/>
        <v>166.4</v>
      </c>
      <c r="AG120" s="224">
        <f t="shared" si="33"/>
        <v>10.199999999999999</v>
      </c>
      <c r="AH120" s="257">
        <f t="shared" si="36"/>
        <v>0</v>
      </c>
      <c r="AI120" s="258">
        <f t="shared" si="37"/>
        <v>0</v>
      </c>
      <c r="AJ120" s="55">
        <f>SUMIFS('tuot-INFO'!W:W,'tuot-INFO'!$A:$A,'tuot-PVÄ'!B120)</f>
        <v>89.37299999999999</v>
      </c>
      <c r="AK120" s="55">
        <f>SUMIFS('tuot-INFO'!X:X,'tuot-INFO'!$A:$A,'tuot-PVÄ'!B120)</f>
        <v>9.61</v>
      </c>
    </row>
    <row r="121" spans="1:37" x14ac:dyDescent="0.25">
      <c r="A121" s="169">
        <f t="shared" si="34"/>
        <v>42607</v>
      </c>
      <c r="B121" s="23">
        <f>ROUNDUP((A121-Yleistiedot!$B$4)/7,0)</f>
        <v>34</v>
      </c>
      <c r="C121" s="16"/>
      <c r="D121" s="25"/>
      <c r="E121" s="25"/>
      <c r="F121" s="25"/>
      <c r="G121" s="25"/>
      <c r="H121" s="25"/>
      <c r="I121" s="65">
        <f t="shared" si="29"/>
        <v>0</v>
      </c>
      <c r="J121" s="26"/>
      <c r="K121" s="25"/>
      <c r="L121" s="16"/>
      <c r="M121" s="16"/>
      <c r="N121" s="25"/>
      <c r="O121" s="30"/>
      <c r="P121" s="252">
        <f t="shared" si="42"/>
        <v>9990</v>
      </c>
      <c r="Q121" s="253">
        <f t="shared" si="43"/>
        <v>0</v>
      </c>
      <c r="R121" s="253">
        <f t="shared" si="44"/>
        <v>0</v>
      </c>
      <c r="S121" s="251">
        <f>SUMIFS('tuot-rehukirjanpito'!D:D,'tuot-rehukirjanpito'!A:A,A121)</f>
        <v>0</v>
      </c>
      <c r="T121" s="254">
        <f t="shared" si="35"/>
        <v>1098.9000000000001</v>
      </c>
      <c r="U121" s="254">
        <f t="shared" si="41"/>
        <v>1098.8999999999999</v>
      </c>
      <c r="V121" s="252">
        <f t="shared" si="45"/>
        <v>-130769.09999999971</v>
      </c>
      <c r="W121" s="255">
        <f t="shared" si="28"/>
        <v>-118.99999999999976</v>
      </c>
      <c r="X121" s="256" t="str">
        <f t="shared" si="39"/>
        <v/>
      </c>
      <c r="Y121" s="256" t="str">
        <f t="shared" si="40"/>
        <v/>
      </c>
      <c r="Z121" s="224" t="str">
        <f>IF(IFERROR(INDEX('tuot-rehukirjanpito'!I:I,MATCH(A121,'tuot-rehukirjanpito'!G:G,0)),)=0,"",INDEX('tuot-rehukirjanpito'!I:I,MATCH(A121,'tuot-rehukirjanpito'!G:G,0)))</f>
        <v/>
      </c>
      <c r="AA121" s="224">
        <f>SUMIFS('tuot-INFO'!$K$10:$K$115,'tuot-INFO'!$A$10:$A$115,'tuot-PVÄ'!B121)</f>
        <v>61.6</v>
      </c>
      <c r="AB121" s="224">
        <f>SUMIFS('rehu-vesi-INFO'!$R:$R,'rehu-vesi-INFO'!$A:$A,'tuot-PVÄ'!B121)</f>
        <v>1664</v>
      </c>
      <c r="AC121" s="224">
        <f>SUMIFS('rehu-vesi-INFO'!$S:$S,'rehu-vesi-INFO'!$A:$A,'tuot-PVÄ'!B121)</f>
        <v>1766</v>
      </c>
      <c r="AD121" s="224">
        <f t="shared" si="30"/>
        <v>102</v>
      </c>
      <c r="AE121" s="224">
        <f t="shared" si="31"/>
        <v>0</v>
      </c>
      <c r="AF121" s="224">
        <f t="shared" si="32"/>
        <v>166.4</v>
      </c>
      <c r="AG121" s="224">
        <f t="shared" si="33"/>
        <v>10.199999999999999</v>
      </c>
      <c r="AH121" s="257">
        <f t="shared" si="36"/>
        <v>0</v>
      </c>
      <c r="AI121" s="258">
        <f t="shared" si="37"/>
        <v>0</v>
      </c>
      <c r="AJ121" s="55">
        <f>SUMIFS('tuot-INFO'!W:W,'tuot-INFO'!$A:$A,'tuot-PVÄ'!B121)</f>
        <v>89.37299999999999</v>
      </c>
      <c r="AK121" s="55">
        <f>SUMIFS('tuot-INFO'!X:X,'tuot-INFO'!$A:$A,'tuot-PVÄ'!B121)</f>
        <v>9.61</v>
      </c>
    </row>
    <row r="122" spans="1:37" x14ac:dyDescent="0.25">
      <c r="A122" s="169">
        <f t="shared" si="34"/>
        <v>42608</v>
      </c>
      <c r="B122" s="23">
        <f>ROUNDUP((A122-Yleistiedot!$B$4)/7,0)</f>
        <v>34</v>
      </c>
      <c r="C122" s="16"/>
      <c r="D122" s="25"/>
      <c r="E122" s="25"/>
      <c r="F122" s="25"/>
      <c r="G122" s="25"/>
      <c r="H122" s="25"/>
      <c r="I122" s="65">
        <f t="shared" si="29"/>
        <v>0</v>
      </c>
      <c r="J122" s="26"/>
      <c r="K122" s="25"/>
      <c r="L122" s="16"/>
      <c r="M122" s="16"/>
      <c r="N122" s="25"/>
      <c r="O122" s="30"/>
      <c r="P122" s="252">
        <f t="shared" si="42"/>
        <v>9990</v>
      </c>
      <c r="Q122" s="253">
        <f t="shared" si="43"/>
        <v>0</v>
      </c>
      <c r="R122" s="253">
        <f t="shared" si="44"/>
        <v>0</v>
      </c>
      <c r="S122" s="251">
        <f>SUMIFS('tuot-rehukirjanpito'!D:D,'tuot-rehukirjanpito'!A:A,A122)</f>
        <v>0</v>
      </c>
      <c r="T122" s="254">
        <f t="shared" si="35"/>
        <v>1098.9000000000001</v>
      </c>
      <c r="U122" s="254">
        <f t="shared" si="41"/>
        <v>1098.8999999999999</v>
      </c>
      <c r="V122" s="252">
        <f t="shared" si="45"/>
        <v>-131867.99999999971</v>
      </c>
      <c r="W122" s="255">
        <f t="shared" si="28"/>
        <v>-119.99999999999974</v>
      </c>
      <c r="X122" s="256" t="str">
        <f t="shared" si="39"/>
        <v/>
      </c>
      <c r="Y122" s="256" t="str">
        <f t="shared" si="40"/>
        <v/>
      </c>
      <c r="Z122" s="224" t="str">
        <f>IF(IFERROR(INDEX('tuot-rehukirjanpito'!I:I,MATCH(A122,'tuot-rehukirjanpito'!G:G,0)),)=0,"",INDEX('tuot-rehukirjanpito'!I:I,MATCH(A122,'tuot-rehukirjanpito'!G:G,0)))</f>
        <v/>
      </c>
      <c r="AA122" s="224">
        <f>SUMIFS('tuot-INFO'!$K$10:$K$115,'tuot-INFO'!$A$10:$A$115,'tuot-PVÄ'!B122)</f>
        <v>61.6</v>
      </c>
      <c r="AB122" s="224">
        <f>SUMIFS('rehu-vesi-INFO'!$R:$R,'rehu-vesi-INFO'!$A:$A,'tuot-PVÄ'!B122)</f>
        <v>1664</v>
      </c>
      <c r="AC122" s="224">
        <f>SUMIFS('rehu-vesi-INFO'!$S:$S,'rehu-vesi-INFO'!$A:$A,'tuot-PVÄ'!B122)</f>
        <v>1766</v>
      </c>
      <c r="AD122" s="224">
        <f t="shared" si="30"/>
        <v>102</v>
      </c>
      <c r="AE122" s="224">
        <f t="shared" si="31"/>
        <v>0</v>
      </c>
      <c r="AF122" s="224">
        <f t="shared" si="32"/>
        <v>166.4</v>
      </c>
      <c r="AG122" s="224">
        <f t="shared" si="33"/>
        <v>10.199999999999999</v>
      </c>
      <c r="AH122" s="257">
        <f t="shared" si="36"/>
        <v>0</v>
      </c>
      <c r="AI122" s="258">
        <f t="shared" si="37"/>
        <v>0</v>
      </c>
      <c r="AJ122" s="55">
        <f>SUMIFS('tuot-INFO'!W:W,'tuot-INFO'!$A:$A,'tuot-PVÄ'!B122)</f>
        <v>89.37299999999999</v>
      </c>
      <c r="AK122" s="55">
        <f>SUMIFS('tuot-INFO'!X:X,'tuot-INFO'!$A:$A,'tuot-PVÄ'!B122)</f>
        <v>9.61</v>
      </c>
    </row>
    <row r="123" spans="1:37" x14ac:dyDescent="0.25">
      <c r="A123" s="169">
        <f t="shared" si="34"/>
        <v>42609</v>
      </c>
      <c r="B123" s="23">
        <f>ROUNDUP((A123-Yleistiedot!$B$4)/7,0)</f>
        <v>35</v>
      </c>
      <c r="C123" s="16"/>
      <c r="D123" s="25"/>
      <c r="E123" s="25"/>
      <c r="F123" s="25"/>
      <c r="G123" s="25"/>
      <c r="H123" s="25"/>
      <c r="I123" s="65">
        <f t="shared" si="29"/>
        <v>0</v>
      </c>
      <c r="J123" s="26"/>
      <c r="K123" s="25"/>
      <c r="L123" s="16"/>
      <c r="M123" s="16"/>
      <c r="N123" s="25"/>
      <c r="O123" s="30"/>
      <c r="P123" s="252">
        <f t="shared" si="42"/>
        <v>9990</v>
      </c>
      <c r="Q123" s="253">
        <f t="shared" si="43"/>
        <v>0</v>
      </c>
      <c r="R123" s="253">
        <f t="shared" si="44"/>
        <v>0</v>
      </c>
      <c r="S123" s="251">
        <f>SUMIFS('tuot-rehukirjanpito'!D:D,'tuot-rehukirjanpito'!A:A,A123)</f>
        <v>0</v>
      </c>
      <c r="T123" s="254">
        <f t="shared" si="35"/>
        <v>1098.9000000000001</v>
      </c>
      <c r="U123" s="254">
        <f t="shared" si="41"/>
        <v>1098.8999999999999</v>
      </c>
      <c r="V123" s="252">
        <f t="shared" si="45"/>
        <v>-132966.8999999997</v>
      </c>
      <c r="W123" s="255">
        <f t="shared" si="28"/>
        <v>-120.99999999999974</v>
      </c>
      <c r="X123" s="256" t="str">
        <f t="shared" si="39"/>
        <v/>
      </c>
      <c r="Y123" s="256" t="str">
        <f t="shared" si="40"/>
        <v/>
      </c>
      <c r="Z123" s="224" t="str">
        <f>IF(IFERROR(INDEX('tuot-rehukirjanpito'!I:I,MATCH(A123,'tuot-rehukirjanpito'!G:G,0)),)=0,"",INDEX('tuot-rehukirjanpito'!I:I,MATCH(A123,'tuot-rehukirjanpito'!G:G,0)))</f>
        <v/>
      </c>
      <c r="AA123" s="224">
        <f>SUMIFS('tuot-INFO'!$K$10:$K$115,'tuot-INFO'!$A$10:$A$115,'tuot-PVÄ'!B123)</f>
        <v>61.8</v>
      </c>
      <c r="AB123" s="224">
        <f>SUMIFS('rehu-vesi-INFO'!$R:$R,'rehu-vesi-INFO'!$A:$A,'tuot-PVÄ'!B123)</f>
        <v>1666</v>
      </c>
      <c r="AC123" s="224">
        <f>SUMIFS('rehu-vesi-INFO'!$S:$S,'rehu-vesi-INFO'!$A:$A,'tuot-PVÄ'!B123)</f>
        <v>1769</v>
      </c>
      <c r="AD123" s="224">
        <f t="shared" si="30"/>
        <v>103</v>
      </c>
      <c r="AE123" s="224">
        <f t="shared" si="31"/>
        <v>0</v>
      </c>
      <c r="AF123" s="224">
        <f t="shared" si="32"/>
        <v>166.6</v>
      </c>
      <c r="AG123" s="224">
        <f t="shared" si="33"/>
        <v>10.3</v>
      </c>
      <c r="AH123" s="257">
        <f t="shared" si="36"/>
        <v>0</v>
      </c>
      <c r="AI123" s="258">
        <f t="shared" si="37"/>
        <v>0</v>
      </c>
      <c r="AJ123" s="55">
        <f>SUMIFS('tuot-INFO'!W:W,'tuot-INFO'!$A:$A,'tuot-PVÄ'!B123)</f>
        <v>89.37299999999999</v>
      </c>
      <c r="AK123" s="55">
        <f>SUMIFS('tuot-INFO'!X:X,'tuot-INFO'!$A:$A,'tuot-PVÄ'!B123)</f>
        <v>9.61</v>
      </c>
    </row>
    <row r="124" spans="1:37" x14ac:dyDescent="0.25">
      <c r="A124" s="169">
        <f t="shared" si="34"/>
        <v>42610</v>
      </c>
      <c r="B124" s="23">
        <f>ROUNDUP((A124-Yleistiedot!$B$4)/7,0)</f>
        <v>35</v>
      </c>
      <c r="C124" s="16"/>
      <c r="D124" s="25"/>
      <c r="E124" s="25"/>
      <c r="F124" s="25"/>
      <c r="G124" s="25"/>
      <c r="H124" s="25"/>
      <c r="I124" s="65">
        <f t="shared" si="29"/>
        <v>0</v>
      </c>
      <c r="J124" s="26"/>
      <c r="K124" s="25"/>
      <c r="L124" s="16"/>
      <c r="M124" s="16"/>
      <c r="N124" s="25"/>
      <c r="O124" s="30"/>
      <c r="P124" s="252">
        <f t="shared" si="42"/>
        <v>9990</v>
      </c>
      <c r="Q124" s="253">
        <f t="shared" si="43"/>
        <v>0</v>
      </c>
      <c r="R124" s="253">
        <f t="shared" si="44"/>
        <v>0</v>
      </c>
      <c r="S124" s="251">
        <f>SUMIFS('tuot-rehukirjanpito'!D:D,'tuot-rehukirjanpito'!A:A,A124)</f>
        <v>0</v>
      </c>
      <c r="T124" s="254">
        <f t="shared" si="35"/>
        <v>1098.9000000000001</v>
      </c>
      <c r="U124" s="254">
        <f t="shared" si="41"/>
        <v>1098.8999999999999</v>
      </c>
      <c r="V124" s="252">
        <f t="shared" si="45"/>
        <v>-134065.7999999997</v>
      </c>
      <c r="W124" s="255">
        <f t="shared" si="28"/>
        <v>-121.99999999999974</v>
      </c>
      <c r="X124" s="256" t="str">
        <f t="shared" si="39"/>
        <v/>
      </c>
      <c r="Y124" s="256" t="str">
        <f t="shared" si="40"/>
        <v/>
      </c>
      <c r="Z124" s="224" t="str">
        <f>IF(IFERROR(INDEX('tuot-rehukirjanpito'!I:I,MATCH(A124,'tuot-rehukirjanpito'!G:G,0)),)=0,"",INDEX('tuot-rehukirjanpito'!I:I,MATCH(A124,'tuot-rehukirjanpito'!G:G,0)))</f>
        <v/>
      </c>
      <c r="AA124" s="224">
        <f>SUMIFS('tuot-INFO'!$K$10:$K$115,'tuot-INFO'!$A$10:$A$115,'tuot-PVÄ'!B124)</f>
        <v>61.8</v>
      </c>
      <c r="AB124" s="224">
        <f>SUMIFS('rehu-vesi-INFO'!$R:$R,'rehu-vesi-INFO'!$A:$A,'tuot-PVÄ'!B124)</f>
        <v>1666</v>
      </c>
      <c r="AC124" s="224">
        <f>SUMIFS('rehu-vesi-INFO'!$S:$S,'rehu-vesi-INFO'!$A:$A,'tuot-PVÄ'!B124)</f>
        <v>1769</v>
      </c>
      <c r="AD124" s="224">
        <f t="shared" si="30"/>
        <v>103</v>
      </c>
      <c r="AE124" s="224">
        <f t="shared" si="31"/>
        <v>0</v>
      </c>
      <c r="AF124" s="224">
        <f t="shared" si="32"/>
        <v>166.6</v>
      </c>
      <c r="AG124" s="224">
        <f t="shared" si="33"/>
        <v>10.3</v>
      </c>
      <c r="AH124" s="257">
        <f t="shared" si="36"/>
        <v>0</v>
      </c>
      <c r="AI124" s="258">
        <f t="shared" si="37"/>
        <v>0</v>
      </c>
      <c r="AJ124" s="55">
        <f>SUMIFS('tuot-INFO'!W:W,'tuot-INFO'!$A:$A,'tuot-PVÄ'!B124)</f>
        <v>89.37299999999999</v>
      </c>
      <c r="AK124" s="55">
        <f>SUMIFS('tuot-INFO'!X:X,'tuot-INFO'!$A:$A,'tuot-PVÄ'!B124)</f>
        <v>9.61</v>
      </c>
    </row>
    <row r="125" spans="1:37" x14ac:dyDescent="0.25">
      <c r="A125" s="169">
        <f t="shared" si="34"/>
        <v>42611</v>
      </c>
      <c r="B125" s="23">
        <f>ROUNDUP((A125-Yleistiedot!$B$4)/7,0)</f>
        <v>35</v>
      </c>
      <c r="C125" s="16"/>
      <c r="D125" s="25"/>
      <c r="E125" s="25"/>
      <c r="F125" s="25"/>
      <c r="G125" s="25"/>
      <c r="H125" s="25"/>
      <c r="I125" s="65">
        <f t="shared" si="29"/>
        <v>0</v>
      </c>
      <c r="J125" s="26"/>
      <c r="K125" s="25"/>
      <c r="L125" s="16"/>
      <c r="M125" s="16"/>
      <c r="N125" s="25"/>
      <c r="O125" s="30"/>
      <c r="P125" s="252">
        <f t="shared" si="42"/>
        <v>9990</v>
      </c>
      <c r="Q125" s="253">
        <f t="shared" si="43"/>
        <v>0</v>
      </c>
      <c r="R125" s="253">
        <f t="shared" si="44"/>
        <v>0</v>
      </c>
      <c r="S125" s="251">
        <f>SUMIFS('tuot-rehukirjanpito'!D:D,'tuot-rehukirjanpito'!A:A,A125)</f>
        <v>0</v>
      </c>
      <c r="T125" s="254">
        <f t="shared" si="35"/>
        <v>1098.9000000000001</v>
      </c>
      <c r="U125" s="254">
        <f t="shared" si="41"/>
        <v>1098.8999999999999</v>
      </c>
      <c r="V125" s="252">
        <f t="shared" si="45"/>
        <v>-135164.69999999969</v>
      </c>
      <c r="W125" s="255">
        <f t="shared" ref="W125:W146" si="46">IFERROR(V125/U125,"")</f>
        <v>-122.99999999999973</v>
      </c>
      <c r="X125" s="256" t="str">
        <f t="shared" si="39"/>
        <v/>
      </c>
      <c r="Y125" s="256" t="str">
        <f t="shared" si="40"/>
        <v/>
      </c>
      <c r="Z125" s="224" t="str">
        <f>IF(IFERROR(INDEX('tuot-rehukirjanpito'!I:I,MATCH(A125,'tuot-rehukirjanpito'!G:G,0)),)=0,"",INDEX('tuot-rehukirjanpito'!I:I,MATCH(A125,'tuot-rehukirjanpito'!G:G,0)))</f>
        <v/>
      </c>
      <c r="AA125" s="224">
        <f>SUMIFS('tuot-INFO'!$K$10:$K$115,'tuot-INFO'!$A$10:$A$115,'tuot-PVÄ'!B125)</f>
        <v>61.8</v>
      </c>
      <c r="AB125" s="224">
        <f>SUMIFS('rehu-vesi-INFO'!$R:$R,'rehu-vesi-INFO'!$A:$A,'tuot-PVÄ'!B125)</f>
        <v>1666</v>
      </c>
      <c r="AC125" s="224">
        <f>SUMIFS('rehu-vesi-INFO'!$S:$S,'rehu-vesi-INFO'!$A:$A,'tuot-PVÄ'!B125)</f>
        <v>1769</v>
      </c>
      <c r="AD125" s="224">
        <f t="shared" si="30"/>
        <v>103</v>
      </c>
      <c r="AE125" s="224">
        <f t="shared" si="31"/>
        <v>0</v>
      </c>
      <c r="AF125" s="224">
        <f t="shared" si="32"/>
        <v>166.6</v>
      </c>
      <c r="AG125" s="224">
        <f t="shared" si="33"/>
        <v>10.3</v>
      </c>
      <c r="AH125" s="257">
        <f t="shared" si="36"/>
        <v>0</v>
      </c>
      <c r="AI125" s="258">
        <f t="shared" si="37"/>
        <v>0</v>
      </c>
      <c r="AJ125" s="55">
        <f>SUMIFS('tuot-INFO'!W:W,'tuot-INFO'!$A:$A,'tuot-PVÄ'!B125)</f>
        <v>89.37299999999999</v>
      </c>
      <c r="AK125" s="55">
        <f>SUMIFS('tuot-INFO'!X:X,'tuot-INFO'!$A:$A,'tuot-PVÄ'!B125)</f>
        <v>9.61</v>
      </c>
    </row>
    <row r="126" spans="1:37" x14ac:dyDescent="0.25">
      <c r="A126" s="169">
        <f t="shared" si="34"/>
        <v>42612</v>
      </c>
      <c r="B126" s="23">
        <f>ROUNDUP((A126-Yleistiedot!$B$4)/7,0)</f>
        <v>35</v>
      </c>
      <c r="C126" s="16"/>
      <c r="D126" s="25"/>
      <c r="E126" s="25"/>
      <c r="F126" s="25"/>
      <c r="G126" s="25"/>
      <c r="H126" s="25"/>
      <c r="I126" s="65">
        <f t="shared" si="29"/>
        <v>0</v>
      </c>
      <c r="J126" s="26"/>
      <c r="K126" s="25"/>
      <c r="L126" s="16"/>
      <c r="M126" s="16"/>
      <c r="N126" s="25"/>
      <c r="O126" s="30"/>
      <c r="P126" s="252">
        <f t="shared" si="42"/>
        <v>9990</v>
      </c>
      <c r="Q126" s="253">
        <f t="shared" si="43"/>
        <v>0</v>
      </c>
      <c r="R126" s="253">
        <f t="shared" si="44"/>
        <v>0</v>
      </c>
      <c r="S126" s="251">
        <f>SUMIFS('tuot-rehukirjanpito'!D:D,'tuot-rehukirjanpito'!A:A,A126)</f>
        <v>0</v>
      </c>
      <c r="T126" s="254">
        <f t="shared" si="35"/>
        <v>1098.9000000000001</v>
      </c>
      <c r="U126" s="254">
        <f t="shared" si="41"/>
        <v>1098.8999999999999</v>
      </c>
      <c r="V126" s="252">
        <f t="shared" si="45"/>
        <v>-136263.59999999969</v>
      </c>
      <c r="W126" s="255">
        <f t="shared" si="46"/>
        <v>-123.99999999999973</v>
      </c>
      <c r="X126" s="256" t="str">
        <f t="shared" si="39"/>
        <v/>
      </c>
      <c r="Y126" s="256" t="str">
        <f t="shared" si="40"/>
        <v/>
      </c>
      <c r="Z126" s="224" t="str">
        <f>IF(IFERROR(INDEX('tuot-rehukirjanpito'!I:I,MATCH(A126,'tuot-rehukirjanpito'!G:G,0)),)=0,"",INDEX('tuot-rehukirjanpito'!I:I,MATCH(A126,'tuot-rehukirjanpito'!G:G,0)))</f>
        <v/>
      </c>
      <c r="AA126" s="224">
        <f>SUMIFS('tuot-INFO'!$K$10:$K$115,'tuot-INFO'!$A$10:$A$115,'tuot-PVÄ'!B126)</f>
        <v>61.8</v>
      </c>
      <c r="AB126" s="224">
        <f>SUMIFS('rehu-vesi-INFO'!$R:$R,'rehu-vesi-INFO'!$A:$A,'tuot-PVÄ'!B126)</f>
        <v>1666</v>
      </c>
      <c r="AC126" s="224">
        <f>SUMIFS('rehu-vesi-INFO'!$S:$S,'rehu-vesi-INFO'!$A:$A,'tuot-PVÄ'!B126)</f>
        <v>1769</v>
      </c>
      <c r="AD126" s="224">
        <f t="shared" si="30"/>
        <v>103</v>
      </c>
      <c r="AE126" s="224">
        <f t="shared" si="31"/>
        <v>0</v>
      </c>
      <c r="AF126" s="224">
        <f t="shared" si="32"/>
        <v>166.6</v>
      </c>
      <c r="AG126" s="224">
        <f t="shared" si="33"/>
        <v>10.3</v>
      </c>
      <c r="AH126" s="257">
        <f t="shared" si="36"/>
        <v>0</v>
      </c>
      <c r="AI126" s="258">
        <f t="shared" si="37"/>
        <v>0</v>
      </c>
      <c r="AJ126" s="55">
        <f>SUMIFS('tuot-INFO'!W:W,'tuot-INFO'!$A:$A,'tuot-PVÄ'!B126)</f>
        <v>89.37299999999999</v>
      </c>
      <c r="AK126" s="55">
        <f>SUMIFS('tuot-INFO'!X:X,'tuot-INFO'!$A:$A,'tuot-PVÄ'!B126)</f>
        <v>9.61</v>
      </c>
    </row>
    <row r="127" spans="1:37" x14ac:dyDescent="0.25">
      <c r="A127" s="169">
        <f t="shared" si="34"/>
        <v>42613</v>
      </c>
      <c r="B127" s="23">
        <f>ROUNDUP((A127-Yleistiedot!$B$4)/7,0)</f>
        <v>35</v>
      </c>
      <c r="C127" s="16"/>
      <c r="D127" s="25"/>
      <c r="E127" s="25"/>
      <c r="F127" s="25"/>
      <c r="G127" s="25"/>
      <c r="H127" s="25"/>
      <c r="I127" s="65">
        <f t="shared" si="29"/>
        <v>0</v>
      </c>
      <c r="J127" s="26"/>
      <c r="K127" s="25"/>
      <c r="L127" s="16"/>
      <c r="M127" s="16"/>
      <c r="N127" s="25"/>
      <c r="O127" s="30"/>
      <c r="P127" s="252">
        <f t="shared" si="42"/>
        <v>9990</v>
      </c>
      <c r="Q127" s="253">
        <f t="shared" si="43"/>
        <v>0</v>
      </c>
      <c r="R127" s="253">
        <f t="shared" si="44"/>
        <v>0</v>
      </c>
      <c r="S127" s="251">
        <f>SUMIFS('tuot-rehukirjanpito'!D:D,'tuot-rehukirjanpito'!A:A,A127)</f>
        <v>0</v>
      </c>
      <c r="T127" s="254">
        <f t="shared" si="35"/>
        <v>1098.9000000000001</v>
      </c>
      <c r="U127" s="254">
        <f t="shared" si="41"/>
        <v>1098.8999999999999</v>
      </c>
      <c r="V127" s="252">
        <f t="shared" si="45"/>
        <v>-137362.49999999968</v>
      </c>
      <c r="W127" s="255">
        <f t="shared" si="46"/>
        <v>-124.99999999999973</v>
      </c>
      <c r="X127" s="256" t="str">
        <f t="shared" si="39"/>
        <v/>
      </c>
      <c r="Y127" s="256" t="str">
        <f t="shared" si="40"/>
        <v/>
      </c>
      <c r="Z127" s="224" t="str">
        <f>IF(IFERROR(INDEX('tuot-rehukirjanpito'!I:I,MATCH(A127,'tuot-rehukirjanpito'!G:G,0)),)=0,"",INDEX('tuot-rehukirjanpito'!I:I,MATCH(A127,'tuot-rehukirjanpito'!G:G,0)))</f>
        <v/>
      </c>
      <c r="AA127" s="224">
        <f>SUMIFS('tuot-INFO'!$K$10:$K$115,'tuot-INFO'!$A$10:$A$115,'tuot-PVÄ'!B127)</f>
        <v>61.8</v>
      </c>
      <c r="AB127" s="224">
        <f>SUMIFS('rehu-vesi-INFO'!$R:$R,'rehu-vesi-INFO'!$A:$A,'tuot-PVÄ'!B127)</f>
        <v>1666</v>
      </c>
      <c r="AC127" s="224">
        <f>SUMIFS('rehu-vesi-INFO'!$S:$S,'rehu-vesi-INFO'!$A:$A,'tuot-PVÄ'!B127)</f>
        <v>1769</v>
      </c>
      <c r="AD127" s="224">
        <f t="shared" si="30"/>
        <v>103</v>
      </c>
      <c r="AE127" s="224">
        <f t="shared" si="31"/>
        <v>0</v>
      </c>
      <c r="AF127" s="224">
        <f t="shared" si="32"/>
        <v>166.6</v>
      </c>
      <c r="AG127" s="224">
        <f t="shared" si="33"/>
        <v>10.3</v>
      </c>
      <c r="AH127" s="257">
        <f t="shared" si="36"/>
        <v>0</v>
      </c>
      <c r="AI127" s="258">
        <f t="shared" si="37"/>
        <v>0</v>
      </c>
      <c r="AJ127" s="55">
        <f>SUMIFS('tuot-INFO'!W:W,'tuot-INFO'!$A:$A,'tuot-PVÄ'!B127)</f>
        <v>89.37299999999999</v>
      </c>
      <c r="AK127" s="55">
        <f>SUMIFS('tuot-INFO'!X:X,'tuot-INFO'!$A:$A,'tuot-PVÄ'!B127)</f>
        <v>9.61</v>
      </c>
    </row>
    <row r="128" spans="1:37" x14ac:dyDescent="0.25">
      <c r="A128" s="169">
        <f t="shared" si="34"/>
        <v>42614</v>
      </c>
      <c r="B128" s="23">
        <f>ROUNDUP((A128-Yleistiedot!$B$4)/7,0)</f>
        <v>35</v>
      </c>
      <c r="C128" s="16"/>
      <c r="D128" s="25"/>
      <c r="E128" s="25"/>
      <c r="F128" s="25"/>
      <c r="G128" s="25"/>
      <c r="H128" s="25"/>
      <c r="I128" s="65">
        <f t="shared" si="29"/>
        <v>0</v>
      </c>
      <c r="J128" s="26"/>
      <c r="K128" s="25"/>
      <c r="L128" s="16"/>
      <c r="M128" s="16"/>
      <c r="N128" s="25"/>
      <c r="O128" s="30"/>
      <c r="P128" s="252">
        <f t="shared" si="42"/>
        <v>9990</v>
      </c>
      <c r="Q128" s="253">
        <f t="shared" si="43"/>
        <v>0</v>
      </c>
      <c r="R128" s="253">
        <f t="shared" si="44"/>
        <v>0</v>
      </c>
      <c r="S128" s="251">
        <f>SUMIFS('tuot-rehukirjanpito'!D:D,'tuot-rehukirjanpito'!A:A,A128)</f>
        <v>0</v>
      </c>
      <c r="T128" s="254">
        <f t="shared" si="35"/>
        <v>1098.9000000000001</v>
      </c>
      <c r="U128" s="254">
        <f t="shared" si="41"/>
        <v>1098.8999999999999</v>
      </c>
      <c r="V128" s="252">
        <f t="shared" si="45"/>
        <v>-138461.39999999967</v>
      </c>
      <c r="W128" s="255">
        <f t="shared" si="46"/>
        <v>-125.99999999999972</v>
      </c>
      <c r="X128" s="256" t="str">
        <f t="shared" si="39"/>
        <v/>
      </c>
      <c r="Y128" s="256" t="str">
        <f t="shared" si="40"/>
        <v/>
      </c>
      <c r="Z128" s="224" t="str">
        <f>IF(IFERROR(INDEX('tuot-rehukirjanpito'!I:I,MATCH(A128,'tuot-rehukirjanpito'!G:G,0)),)=0,"",INDEX('tuot-rehukirjanpito'!I:I,MATCH(A128,'tuot-rehukirjanpito'!G:G,0)))</f>
        <v/>
      </c>
      <c r="AA128" s="224">
        <f>SUMIFS('tuot-INFO'!$K$10:$K$115,'tuot-INFO'!$A$10:$A$115,'tuot-PVÄ'!B128)</f>
        <v>61.8</v>
      </c>
      <c r="AB128" s="224">
        <f>SUMIFS('rehu-vesi-INFO'!$R:$R,'rehu-vesi-INFO'!$A:$A,'tuot-PVÄ'!B128)</f>
        <v>1666</v>
      </c>
      <c r="AC128" s="224">
        <f>SUMIFS('rehu-vesi-INFO'!$S:$S,'rehu-vesi-INFO'!$A:$A,'tuot-PVÄ'!B128)</f>
        <v>1769</v>
      </c>
      <c r="AD128" s="224">
        <f t="shared" si="30"/>
        <v>103</v>
      </c>
      <c r="AE128" s="224">
        <f t="shared" si="31"/>
        <v>0</v>
      </c>
      <c r="AF128" s="224">
        <f t="shared" si="32"/>
        <v>166.6</v>
      </c>
      <c r="AG128" s="224">
        <f t="shared" si="33"/>
        <v>10.3</v>
      </c>
      <c r="AH128" s="257">
        <f t="shared" si="36"/>
        <v>0</v>
      </c>
      <c r="AI128" s="258">
        <f t="shared" si="37"/>
        <v>0</v>
      </c>
      <c r="AJ128" s="55">
        <f>SUMIFS('tuot-INFO'!W:W,'tuot-INFO'!$A:$A,'tuot-PVÄ'!B128)</f>
        <v>89.37299999999999</v>
      </c>
      <c r="AK128" s="55">
        <f>SUMIFS('tuot-INFO'!X:X,'tuot-INFO'!$A:$A,'tuot-PVÄ'!B128)</f>
        <v>9.61</v>
      </c>
    </row>
    <row r="129" spans="1:37" x14ac:dyDescent="0.25">
      <c r="A129" s="169">
        <f t="shared" si="34"/>
        <v>42615</v>
      </c>
      <c r="B129" s="23">
        <f>ROUNDUP((A129-Yleistiedot!$B$4)/7,0)</f>
        <v>35</v>
      </c>
      <c r="C129" s="16"/>
      <c r="D129" s="25"/>
      <c r="E129" s="25"/>
      <c r="F129" s="25"/>
      <c r="G129" s="25"/>
      <c r="H129" s="25"/>
      <c r="I129" s="65">
        <f t="shared" si="29"/>
        <v>0</v>
      </c>
      <c r="J129" s="26"/>
      <c r="K129" s="25"/>
      <c r="L129" s="16"/>
      <c r="M129" s="16"/>
      <c r="N129" s="25"/>
      <c r="O129" s="30"/>
      <c r="P129" s="252">
        <f t="shared" si="42"/>
        <v>9990</v>
      </c>
      <c r="Q129" s="253">
        <f t="shared" si="43"/>
        <v>0</v>
      </c>
      <c r="R129" s="253">
        <f t="shared" si="44"/>
        <v>0</v>
      </c>
      <c r="S129" s="251">
        <f>SUMIFS('tuot-rehukirjanpito'!D:D,'tuot-rehukirjanpito'!A:A,A129)</f>
        <v>0</v>
      </c>
      <c r="T129" s="254">
        <f t="shared" si="35"/>
        <v>1098.9000000000001</v>
      </c>
      <c r="U129" s="254">
        <f t="shared" si="41"/>
        <v>1098.8999999999999</v>
      </c>
      <c r="V129" s="252">
        <f t="shared" si="45"/>
        <v>-139560.29999999967</v>
      </c>
      <c r="W129" s="255">
        <f t="shared" si="46"/>
        <v>-126.99999999999972</v>
      </c>
      <c r="X129" s="256" t="str">
        <f t="shared" si="39"/>
        <v/>
      </c>
      <c r="Y129" s="256" t="str">
        <f t="shared" si="40"/>
        <v/>
      </c>
      <c r="Z129" s="224" t="str">
        <f>IF(IFERROR(INDEX('tuot-rehukirjanpito'!I:I,MATCH(A129,'tuot-rehukirjanpito'!G:G,0)),)=0,"",INDEX('tuot-rehukirjanpito'!I:I,MATCH(A129,'tuot-rehukirjanpito'!G:G,0)))</f>
        <v/>
      </c>
      <c r="AA129" s="224">
        <f>SUMIFS('tuot-INFO'!$K$10:$K$115,'tuot-INFO'!$A$10:$A$115,'tuot-PVÄ'!B129)</f>
        <v>61.8</v>
      </c>
      <c r="AB129" s="224">
        <f>SUMIFS('rehu-vesi-INFO'!$R:$R,'rehu-vesi-INFO'!$A:$A,'tuot-PVÄ'!B129)</f>
        <v>1666</v>
      </c>
      <c r="AC129" s="224">
        <f>SUMIFS('rehu-vesi-INFO'!$S:$S,'rehu-vesi-INFO'!$A:$A,'tuot-PVÄ'!B129)</f>
        <v>1769</v>
      </c>
      <c r="AD129" s="224">
        <f t="shared" si="30"/>
        <v>103</v>
      </c>
      <c r="AE129" s="224">
        <f t="shared" si="31"/>
        <v>0</v>
      </c>
      <c r="AF129" s="224">
        <f t="shared" si="32"/>
        <v>166.6</v>
      </c>
      <c r="AG129" s="224">
        <f t="shared" si="33"/>
        <v>10.3</v>
      </c>
      <c r="AH129" s="257">
        <f t="shared" si="36"/>
        <v>0</v>
      </c>
      <c r="AI129" s="258">
        <f t="shared" si="37"/>
        <v>0</v>
      </c>
      <c r="AJ129" s="55">
        <f>SUMIFS('tuot-INFO'!W:W,'tuot-INFO'!$A:$A,'tuot-PVÄ'!B129)</f>
        <v>89.37299999999999</v>
      </c>
      <c r="AK129" s="55">
        <f>SUMIFS('tuot-INFO'!X:X,'tuot-INFO'!$A:$A,'tuot-PVÄ'!B129)</f>
        <v>9.61</v>
      </c>
    </row>
    <row r="130" spans="1:37" x14ac:dyDescent="0.25">
      <c r="A130" s="169">
        <f t="shared" si="34"/>
        <v>42616</v>
      </c>
      <c r="B130" s="23">
        <f>ROUNDUP((A130-Yleistiedot!$B$4)/7,0)</f>
        <v>36</v>
      </c>
      <c r="C130" s="16"/>
      <c r="D130" s="25"/>
      <c r="E130" s="25"/>
      <c r="F130" s="25"/>
      <c r="G130" s="25"/>
      <c r="H130" s="25"/>
      <c r="I130" s="65">
        <f t="shared" si="29"/>
        <v>0</v>
      </c>
      <c r="J130" s="26"/>
      <c r="K130" s="25"/>
      <c r="L130" s="16"/>
      <c r="M130" s="16"/>
      <c r="N130" s="25"/>
      <c r="O130" s="30"/>
      <c r="P130" s="252">
        <f t="shared" si="42"/>
        <v>9990</v>
      </c>
      <c r="Q130" s="253">
        <f t="shared" si="43"/>
        <v>0</v>
      </c>
      <c r="R130" s="253">
        <f t="shared" si="44"/>
        <v>0</v>
      </c>
      <c r="S130" s="251">
        <f>SUMIFS('tuot-rehukirjanpito'!D:D,'tuot-rehukirjanpito'!A:A,A130)</f>
        <v>0</v>
      </c>
      <c r="T130" s="254">
        <f t="shared" si="35"/>
        <v>1098.9000000000001</v>
      </c>
      <c r="U130" s="254">
        <f t="shared" si="41"/>
        <v>1098.8999999999999</v>
      </c>
      <c r="V130" s="252">
        <f t="shared" si="45"/>
        <v>-140659.19999999966</v>
      </c>
      <c r="W130" s="255">
        <f t="shared" si="46"/>
        <v>-127.9999999999997</v>
      </c>
      <c r="X130" s="256" t="str">
        <f t="shared" si="39"/>
        <v/>
      </c>
      <c r="Y130" s="256" t="str">
        <f t="shared" si="40"/>
        <v/>
      </c>
      <c r="Z130" s="224" t="str">
        <f>IF(IFERROR(INDEX('tuot-rehukirjanpito'!I:I,MATCH(A130,'tuot-rehukirjanpito'!G:G,0)),)=0,"",INDEX('tuot-rehukirjanpito'!I:I,MATCH(A130,'tuot-rehukirjanpito'!G:G,0)))</f>
        <v/>
      </c>
      <c r="AA130" s="224">
        <f>SUMIFS('tuot-INFO'!$K$10:$K$115,'tuot-INFO'!$A$10:$A$115,'tuot-PVÄ'!B130)</f>
        <v>62</v>
      </c>
      <c r="AB130" s="224">
        <f>SUMIFS('rehu-vesi-INFO'!$R:$R,'rehu-vesi-INFO'!$A:$A,'tuot-PVÄ'!B130)</f>
        <v>1668</v>
      </c>
      <c r="AC130" s="224">
        <f>SUMIFS('rehu-vesi-INFO'!$S:$S,'rehu-vesi-INFO'!$A:$A,'tuot-PVÄ'!B130)</f>
        <v>1772</v>
      </c>
      <c r="AD130" s="224">
        <f t="shared" si="30"/>
        <v>104</v>
      </c>
      <c r="AE130" s="224">
        <f t="shared" si="31"/>
        <v>0</v>
      </c>
      <c r="AF130" s="224">
        <f t="shared" si="32"/>
        <v>166.8</v>
      </c>
      <c r="AG130" s="224">
        <f t="shared" si="33"/>
        <v>10.4</v>
      </c>
      <c r="AH130" s="257">
        <f t="shared" si="36"/>
        <v>0</v>
      </c>
      <c r="AI130" s="258">
        <f t="shared" si="37"/>
        <v>0</v>
      </c>
      <c r="AJ130" s="55">
        <f>SUMIFS('tuot-INFO'!W:W,'tuot-INFO'!$A:$A,'tuot-PVÄ'!B130)</f>
        <v>89.37299999999999</v>
      </c>
      <c r="AK130" s="55">
        <f>SUMIFS('tuot-INFO'!X:X,'tuot-INFO'!$A:$A,'tuot-PVÄ'!B130)</f>
        <v>9.61</v>
      </c>
    </row>
    <row r="131" spans="1:37" x14ac:dyDescent="0.25">
      <c r="A131" s="169">
        <f t="shared" si="34"/>
        <v>42617</v>
      </c>
      <c r="B131" s="23">
        <f>ROUNDUP((A131-Yleistiedot!$B$4)/7,0)</f>
        <v>36</v>
      </c>
      <c r="C131" s="16"/>
      <c r="D131" s="25"/>
      <c r="E131" s="25"/>
      <c r="F131" s="25"/>
      <c r="G131" s="25"/>
      <c r="H131" s="25"/>
      <c r="I131" s="65">
        <f t="shared" si="29"/>
        <v>0</v>
      </c>
      <c r="J131" s="26"/>
      <c r="K131" s="25"/>
      <c r="L131" s="16"/>
      <c r="M131" s="16"/>
      <c r="N131" s="25"/>
      <c r="O131" s="30"/>
      <c r="P131" s="252">
        <f t="shared" si="42"/>
        <v>9990</v>
      </c>
      <c r="Q131" s="253">
        <f t="shared" si="43"/>
        <v>0</v>
      </c>
      <c r="R131" s="253">
        <f t="shared" si="44"/>
        <v>0</v>
      </c>
      <c r="S131" s="251">
        <f>SUMIFS('tuot-rehukirjanpito'!D:D,'tuot-rehukirjanpito'!A:A,A131)</f>
        <v>0</v>
      </c>
      <c r="T131" s="254">
        <f t="shared" si="35"/>
        <v>1098.9000000000001</v>
      </c>
      <c r="U131" s="254">
        <f t="shared" si="41"/>
        <v>1098.8999999999999</v>
      </c>
      <c r="V131" s="252">
        <f t="shared" si="45"/>
        <v>-141758.09999999966</v>
      </c>
      <c r="W131" s="255">
        <f t="shared" si="46"/>
        <v>-128.99999999999972</v>
      </c>
      <c r="X131" s="256" t="str">
        <f t="shared" si="39"/>
        <v/>
      </c>
      <c r="Y131" s="256" t="str">
        <f t="shared" si="40"/>
        <v/>
      </c>
      <c r="Z131" s="224" t="str">
        <f>IF(IFERROR(INDEX('tuot-rehukirjanpito'!I:I,MATCH(A131,'tuot-rehukirjanpito'!G:G,0)),)=0,"",INDEX('tuot-rehukirjanpito'!I:I,MATCH(A131,'tuot-rehukirjanpito'!G:G,0)))</f>
        <v/>
      </c>
      <c r="AA131" s="224">
        <f>SUMIFS('tuot-INFO'!$K$10:$K$115,'tuot-INFO'!$A$10:$A$115,'tuot-PVÄ'!B131)</f>
        <v>62</v>
      </c>
      <c r="AB131" s="224">
        <f>SUMIFS('rehu-vesi-INFO'!$R:$R,'rehu-vesi-INFO'!$A:$A,'tuot-PVÄ'!B131)</f>
        <v>1668</v>
      </c>
      <c r="AC131" s="224">
        <f>SUMIFS('rehu-vesi-INFO'!$S:$S,'rehu-vesi-INFO'!$A:$A,'tuot-PVÄ'!B131)</f>
        <v>1772</v>
      </c>
      <c r="AD131" s="224">
        <f t="shared" si="30"/>
        <v>104</v>
      </c>
      <c r="AE131" s="224">
        <f t="shared" si="31"/>
        <v>0</v>
      </c>
      <c r="AF131" s="224">
        <f t="shared" si="32"/>
        <v>166.8</v>
      </c>
      <c r="AG131" s="224">
        <f t="shared" si="33"/>
        <v>10.4</v>
      </c>
      <c r="AH131" s="257">
        <f t="shared" si="36"/>
        <v>0</v>
      </c>
      <c r="AI131" s="258">
        <f t="shared" si="37"/>
        <v>0</v>
      </c>
      <c r="AJ131" s="55">
        <f>SUMIFS('tuot-INFO'!W:W,'tuot-INFO'!$A:$A,'tuot-PVÄ'!B131)</f>
        <v>89.37299999999999</v>
      </c>
      <c r="AK131" s="55">
        <f>SUMIFS('tuot-INFO'!X:X,'tuot-INFO'!$A:$A,'tuot-PVÄ'!B131)</f>
        <v>9.61</v>
      </c>
    </row>
    <row r="132" spans="1:37" x14ac:dyDescent="0.25">
      <c r="A132" s="169">
        <f t="shared" si="34"/>
        <v>42618</v>
      </c>
      <c r="B132" s="23">
        <f>ROUNDUP((A132-Yleistiedot!$B$4)/7,0)</f>
        <v>36</v>
      </c>
      <c r="C132" s="16"/>
      <c r="D132" s="25"/>
      <c r="E132" s="25"/>
      <c r="F132" s="25"/>
      <c r="G132" s="25"/>
      <c r="H132" s="25"/>
      <c r="I132" s="65">
        <f t="shared" ref="I132:I195" si="47">SUM(E132:H132)</f>
        <v>0</v>
      </c>
      <c r="J132" s="26"/>
      <c r="K132" s="25"/>
      <c r="L132" s="16"/>
      <c r="M132" s="16"/>
      <c r="N132" s="25"/>
      <c r="O132" s="30"/>
      <c r="P132" s="252">
        <f t="shared" si="42"/>
        <v>9990</v>
      </c>
      <c r="Q132" s="253">
        <f t="shared" si="43"/>
        <v>0</v>
      </c>
      <c r="R132" s="253">
        <f t="shared" si="44"/>
        <v>0</v>
      </c>
      <c r="S132" s="251">
        <f>SUMIFS('tuot-rehukirjanpito'!D:D,'tuot-rehukirjanpito'!A:A,A132)</f>
        <v>0</v>
      </c>
      <c r="T132" s="254">
        <f t="shared" si="35"/>
        <v>1098.9000000000001</v>
      </c>
      <c r="U132" s="254">
        <f t="shared" si="41"/>
        <v>1098.8999999999999</v>
      </c>
      <c r="V132" s="252">
        <f t="shared" si="45"/>
        <v>-142856.99999999965</v>
      </c>
      <c r="W132" s="255">
        <f t="shared" si="46"/>
        <v>-129.99999999999969</v>
      </c>
      <c r="X132" s="256" t="str">
        <f t="shared" si="39"/>
        <v/>
      </c>
      <c r="Y132" s="256" t="str">
        <f t="shared" si="40"/>
        <v/>
      </c>
      <c r="Z132" s="224" t="str">
        <f>IF(IFERROR(INDEX('tuot-rehukirjanpito'!I:I,MATCH(A132,'tuot-rehukirjanpito'!G:G,0)),)=0,"",INDEX('tuot-rehukirjanpito'!I:I,MATCH(A132,'tuot-rehukirjanpito'!G:G,0)))</f>
        <v/>
      </c>
      <c r="AA132" s="224">
        <f>SUMIFS('tuot-INFO'!$K$10:$K$115,'tuot-INFO'!$A$10:$A$115,'tuot-PVÄ'!B132)</f>
        <v>62</v>
      </c>
      <c r="AB132" s="224">
        <f>SUMIFS('rehu-vesi-INFO'!$R:$R,'rehu-vesi-INFO'!$A:$A,'tuot-PVÄ'!B132)</f>
        <v>1668</v>
      </c>
      <c r="AC132" s="224">
        <f>SUMIFS('rehu-vesi-INFO'!$S:$S,'rehu-vesi-INFO'!$A:$A,'tuot-PVÄ'!B132)</f>
        <v>1772</v>
      </c>
      <c r="AD132" s="224">
        <f t="shared" ref="AD132:AD195" si="48">AC132-AB132</f>
        <v>104</v>
      </c>
      <c r="AE132" s="224">
        <f t="shared" ref="AE132:AE195" si="49">K132/10</f>
        <v>0</v>
      </c>
      <c r="AF132" s="224">
        <f t="shared" ref="AF132:AF195" si="50">AB132/10</f>
        <v>166.8</v>
      </c>
      <c r="AG132" s="224">
        <f t="shared" ref="AG132:AG195" si="51">AD132/10</f>
        <v>10.4</v>
      </c>
      <c r="AH132" s="257">
        <f t="shared" si="36"/>
        <v>0</v>
      </c>
      <c r="AI132" s="258">
        <f t="shared" si="37"/>
        <v>0</v>
      </c>
      <c r="AJ132" s="55">
        <f>SUMIFS('tuot-INFO'!W:W,'tuot-INFO'!$A:$A,'tuot-PVÄ'!B132)</f>
        <v>89.37299999999999</v>
      </c>
      <c r="AK132" s="55">
        <f>SUMIFS('tuot-INFO'!X:X,'tuot-INFO'!$A:$A,'tuot-PVÄ'!B132)</f>
        <v>9.61</v>
      </c>
    </row>
    <row r="133" spans="1:37" x14ac:dyDescent="0.25">
      <c r="A133" s="169">
        <f t="shared" ref="A133:A196" si="52">A132+1</f>
        <v>42619</v>
      </c>
      <c r="B133" s="23">
        <f>ROUNDUP((A133-Yleistiedot!$B$4)/7,0)</f>
        <v>36</v>
      </c>
      <c r="C133" s="16"/>
      <c r="D133" s="25"/>
      <c r="E133" s="25"/>
      <c r="F133" s="25"/>
      <c r="G133" s="25"/>
      <c r="H133" s="25"/>
      <c r="I133" s="65">
        <f t="shared" si="47"/>
        <v>0</v>
      </c>
      <c r="J133" s="26"/>
      <c r="K133" s="25"/>
      <c r="L133" s="16"/>
      <c r="M133" s="16"/>
      <c r="N133" s="25"/>
      <c r="O133" s="30"/>
      <c r="P133" s="252">
        <f t="shared" si="42"/>
        <v>9990</v>
      </c>
      <c r="Q133" s="253">
        <f t="shared" si="43"/>
        <v>0</v>
      </c>
      <c r="R133" s="253">
        <f t="shared" si="44"/>
        <v>0</v>
      </c>
      <c r="S133" s="251">
        <f>SUMIFS('tuot-rehukirjanpito'!D:D,'tuot-rehukirjanpito'!A:A,A133)</f>
        <v>0</v>
      </c>
      <c r="T133" s="254">
        <f t="shared" ref="T133:T196" si="53">IF(L133&gt;0,P133*L133/1000,T132)</f>
        <v>1098.9000000000001</v>
      </c>
      <c r="U133" s="254">
        <f t="shared" si="41"/>
        <v>1098.8999999999999</v>
      </c>
      <c r="V133" s="252">
        <f t="shared" si="45"/>
        <v>-143955.89999999964</v>
      </c>
      <c r="W133" s="255">
        <f t="shared" si="46"/>
        <v>-130.99999999999969</v>
      </c>
      <c r="X133" s="256" t="str">
        <f t="shared" si="39"/>
        <v/>
      </c>
      <c r="Y133" s="256" t="str">
        <f t="shared" si="40"/>
        <v/>
      </c>
      <c r="Z133" s="224" t="str">
        <f>IF(IFERROR(INDEX('tuot-rehukirjanpito'!I:I,MATCH(A133,'tuot-rehukirjanpito'!G:G,0)),)=0,"",INDEX('tuot-rehukirjanpito'!I:I,MATCH(A133,'tuot-rehukirjanpito'!G:G,0)))</f>
        <v/>
      </c>
      <c r="AA133" s="224">
        <f>SUMIFS('tuot-INFO'!$K$10:$K$115,'tuot-INFO'!$A$10:$A$115,'tuot-PVÄ'!B133)</f>
        <v>62</v>
      </c>
      <c r="AB133" s="224">
        <f>SUMIFS('rehu-vesi-INFO'!$R:$R,'rehu-vesi-INFO'!$A:$A,'tuot-PVÄ'!B133)</f>
        <v>1668</v>
      </c>
      <c r="AC133" s="224">
        <f>SUMIFS('rehu-vesi-INFO'!$S:$S,'rehu-vesi-INFO'!$A:$A,'tuot-PVÄ'!B133)</f>
        <v>1772</v>
      </c>
      <c r="AD133" s="224">
        <f t="shared" si="48"/>
        <v>104</v>
      </c>
      <c r="AE133" s="224">
        <f t="shared" si="49"/>
        <v>0</v>
      </c>
      <c r="AF133" s="224">
        <f t="shared" si="50"/>
        <v>166.8</v>
      </c>
      <c r="AG133" s="224">
        <f t="shared" si="51"/>
        <v>10.4</v>
      </c>
      <c r="AH133" s="257">
        <f t="shared" si="36"/>
        <v>0</v>
      </c>
      <c r="AI133" s="258">
        <f t="shared" si="37"/>
        <v>0</v>
      </c>
      <c r="AJ133" s="55">
        <f>SUMIFS('tuot-INFO'!W:W,'tuot-INFO'!$A:$A,'tuot-PVÄ'!B133)</f>
        <v>89.37299999999999</v>
      </c>
      <c r="AK133" s="55">
        <f>SUMIFS('tuot-INFO'!X:X,'tuot-INFO'!$A:$A,'tuot-PVÄ'!B133)</f>
        <v>9.61</v>
      </c>
    </row>
    <row r="134" spans="1:37" x14ac:dyDescent="0.25">
      <c r="A134" s="169">
        <f t="shared" si="52"/>
        <v>42620</v>
      </c>
      <c r="B134" s="23">
        <f>ROUNDUP((A134-Yleistiedot!$B$4)/7,0)</f>
        <v>36</v>
      </c>
      <c r="C134" s="16"/>
      <c r="D134" s="25"/>
      <c r="E134" s="25"/>
      <c r="F134" s="25"/>
      <c r="G134" s="25"/>
      <c r="H134" s="25"/>
      <c r="I134" s="65">
        <f t="shared" si="47"/>
        <v>0</v>
      </c>
      <c r="J134" s="26"/>
      <c r="K134" s="25"/>
      <c r="L134" s="16"/>
      <c r="M134" s="16"/>
      <c r="N134" s="25"/>
      <c r="O134" s="30"/>
      <c r="P134" s="252">
        <f t="shared" si="42"/>
        <v>9990</v>
      </c>
      <c r="Q134" s="253">
        <f t="shared" si="43"/>
        <v>0</v>
      </c>
      <c r="R134" s="253">
        <f t="shared" si="44"/>
        <v>0</v>
      </c>
      <c r="S134" s="251">
        <f>SUMIFS('tuot-rehukirjanpito'!D:D,'tuot-rehukirjanpito'!A:A,A134)</f>
        <v>0</v>
      </c>
      <c r="T134" s="254">
        <f t="shared" si="53"/>
        <v>1098.9000000000001</v>
      </c>
      <c r="U134" s="254">
        <f t="shared" si="41"/>
        <v>1098.8999999999999</v>
      </c>
      <c r="V134" s="252">
        <f t="shared" si="45"/>
        <v>-145054.79999999964</v>
      </c>
      <c r="W134" s="255">
        <f t="shared" si="46"/>
        <v>-131.99999999999969</v>
      </c>
      <c r="X134" s="256" t="str">
        <f t="shared" si="39"/>
        <v/>
      </c>
      <c r="Y134" s="256" t="str">
        <f t="shared" si="40"/>
        <v/>
      </c>
      <c r="Z134" s="224" t="str">
        <f>IF(IFERROR(INDEX('tuot-rehukirjanpito'!I:I,MATCH(A134,'tuot-rehukirjanpito'!G:G,0)),)=0,"",INDEX('tuot-rehukirjanpito'!I:I,MATCH(A134,'tuot-rehukirjanpito'!G:G,0)))</f>
        <v/>
      </c>
      <c r="AA134" s="224">
        <f>SUMIFS('tuot-INFO'!$K$10:$K$115,'tuot-INFO'!$A$10:$A$115,'tuot-PVÄ'!B134)</f>
        <v>62</v>
      </c>
      <c r="AB134" s="224">
        <f>SUMIFS('rehu-vesi-INFO'!$R:$R,'rehu-vesi-INFO'!$A:$A,'tuot-PVÄ'!B134)</f>
        <v>1668</v>
      </c>
      <c r="AC134" s="224">
        <f>SUMIFS('rehu-vesi-INFO'!$S:$S,'rehu-vesi-INFO'!$A:$A,'tuot-PVÄ'!B134)</f>
        <v>1772</v>
      </c>
      <c r="AD134" s="224">
        <f t="shared" si="48"/>
        <v>104</v>
      </c>
      <c r="AE134" s="224">
        <f t="shared" si="49"/>
        <v>0</v>
      </c>
      <c r="AF134" s="224">
        <f t="shared" si="50"/>
        <v>166.8</v>
      </c>
      <c r="AG134" s="224">
        <f t="shared" si="51"/>
        <v>10.4</v>
      </c>
      <c r="AH134" s="257">
        <f t="shared" ref="AH134:AH197" si="54">IFERROR(AVERAGE(L132:L134),)</f>
        <v>0</v>
      </c>
      <c r="AI134" s="258">
        <f t="shared" ref="AI134:AI197" si="55">AVERAGE(Q133+R133,Q134+R134,Q132+R132)</f>
        <v>0</v>
      </c>
      <c r="AJ134" s="55">
        <f>SUMIFS('tuot-INFO'!W:W,'tuot-INFO'!$A:$A,'tuot-PVÄ'!B134)</f>
        <v>89.37299999999999</v>
      </c>
      <c r="AK134" s="55">
        <f>SUMIFS('tuot-INFO'!X:X,'tuot-INFO'!$A:$A,'tuot-PVÄ'!B134)</f>
        <v>9.61</v>
      </c>
    </row>
    <row r="135" spans="1:37" x14ac:dyDescent="0.25">
      <c r="A135" s="169">
        <f t="shared" si="52"/>
        <v>42621</v>
      </c>
      <c r="B135" s="23">
        <f>ROUNDUP((A135-Yleistiedot!$B$4)/7,0)</f>
        <v>36</v>
      </c>
      <c r="C135" s="16"/>
      <c r="D135" s="25"/>
      <c r="E135" s="25"/>
      <c r="F135" s="25"/>
      <c r="G135" s="25"/>
      <c r="H135" s="25"/>
      <c r="I135" s="65">
        <f t="shared" si="47"/>
        <v>0</v>
      </c>
      <c r="J135" s="26"/>
      <c r="K135" s="25"/>
      <c r="L135" s="16"/>
      <c r="M135" s="16"/>
      <c r="N135" s="25"/>
      <c r="O135" s="30"/>
      <c r="P135" s="252">
        <f t="shared" si="42"/>
        <v>9990</v>
      </c>
      <c r="Q135" s="253">
        <f t="shared" si="43"/>
        <v>0</v>
      </c>
      <c r="R135" s="253">
        <f t="shared" si="44"/>
        <v>0</v>
      </c>
      <c r="S135" s="251">
        <f>SUMIFS('tuot-rehukirjanpito'!D:D,'tuot-rehukirjanpito'!A:A,A135)</f>
        <v>0</v>
      </c>
      <c r="T135" s="254">
        <f t="shared" si="53"/>
        <v>1098.9000000000001</v>
      </c>
      <c r="U135" s="254">
        <f t="shared" si="41"/>
        <v>1098.8999999999999</v>
      </c>
      <c r="V135" s="252">
        <f t="shared" si="45"/>
        <v>-146153.69999999963</v>
      </c>
      <c r="W135" s="255">
        <f t="shared" si="46"/>
        <v>-132.99999999999969</v>
      </c>
      <c r="X135" s="256" t="str">
        <f t="shared" si="39"/>
        <v/>
      </c>
      <c r="Y135" s="256" t="str">
        <f t="shared" si="40"/>
        <v/>
      </c>
      <c r="Z135" s="224" t="str">
        <f>IF(IFERROR(INDEX('tuot-rehukirjanpito'!I:I,MATCH(A135,'tuot-rehukirjanpito'!G:G,0)),)=0,"",INDEX('tuot-rehukirjanpito'!I:I,MATCH(A135,'tuot-rehukirjanpito'!G:G,0)))</f>
        <v/>
      </c>
      <c r="AA135" s="224">
        <f>SUMIFS('tuot-INFO'!$K$10:$K$115,'tuot-INFO'!$A$10:$A$115,'tuot-PVÄ'!B135)</f>
        <v>62</v>
      </c>
      <c r="AB135" s="224">
        <f>SUMIFS('rehu-vesi-INFO'!$R:$R,'rehu-vesi-INFO'!$A:$A,'tuot-PVÄ'!B135)</f>
        <v>1668</v>
      </c>
      <c r="AC135" s="224">
        <f>SUMIFS('rehu-vesi-INFO'!$S:$S,'rehu-vesi-INFO'!$A:$A,'tuot-PVÄ'!B135)</f>
        <v>1772</v>
      </c>
      <c r="AD135" s="224">
        <f t="shared" si="48"/>
        <v>104</v>
      </c>
      <c r="AE135" s="224">
        <f t="shared" si="49"/>
        <v>0</v>
      </c>
      <c r="AF135" s="224">
        <f t="shared" si="50"/>
        <v>166.8</v>
      </c>
      <c r="AG135" s="224">
        <f t="shared" si="51"/>
        <v>10.4</v>
      </c>
      <c r="AH135" s="257">
        <f t="shared" si="54"/>
        <v>0</v>
      </c>
      <c r="AI135" s="258">
        <f t="shared" si="55"/>
        <v>0</v>
      </c>
      <c r="AJ135" s="55">
        <f>SUMIFS('tuot-INFO'!W:W,'tuot-INFO'!$A:$A,'tuot-PVÄ'!B135)</f>
        <v>89.37299999999999</v>
      </c>
      <c r="AK135" s="55">
        <f>SUMIFS('tuot-INFO'!X:X,'tuot-INFO'!$A:$A,'tuot-PVÄ'!B135)</f>
        <v>9.61</v>
      </c>
    </row>
    <row r="136" spans="1:37" x14ac:dyDescent="0.25">
      <c r="A136" s="169">
        <f t="shared" si="52"/>
        <v>42622</v>
      </c>
      <c r="B136" s="23">
        <f>ROUNDUP((A136-Yleistiedot!$B$4)/7,0)</f>
        <v>36</v>
      </c>
      <c r="C136" s="16"/>
      <c r="D136" s="25"/>
      <c r="E136" s="25"/>
      <c r="F136" s="25"/>
      <c r="G136" s="25"/>
      <c r="H136" s="25"/>
      <c r="I136" s="65">
        <f t="shared" si="47"/>
        <v>0</v>
      </c>
      <c r="J136" s="26"/>
      <c r="K136" s="25"/>
      <c r="L136" s="16"/>
      <c r="M136" s="16"/>
      <c r="N136" s="25"/>
      <c r="O136" s="30"/>
      <c r="P136" s="252">
        <f t="shared" si="42"/>
        <v>9990</v>
      </c>
      <c r="Q136" s="253">
        <f t="shared" si="43"/>
        <v>0</v>
      </c>
      <c r="R136" s="253">
        <f t="shared" si="44"/>
        <v>0</v>
      </c>
      <c r="S136" s="251">
        <f>SUMIFS('tuot-rehukirjanpito'!D:D,'tuot-rehukirjanpito'!A:A,A136)</f>
        <v>0</v>
      </c>
      <c r="T136" s="254">
        <f t="shared" si="53"/>
        <v>1098.9000000000001</v>
      </c>
      <c r="U136" s="254">
        <f t="shared" si="41"/>
        <v>1098.8999999999999</v>
      </c>
      <c r="V136" s="252">
        <f t="shared" si="45"/>
        <v>-147252.59999999963</v>
      </c>
      <c r="W136" s="255">
        <f t="shared" si="46"/>
        <v>-133.99999999999969</v>
      </c>
      <c r="X136" s="256" t="str">
        <f t="shared" si="39"/>
        <v/>
      </c>
      <c r="Y136" s="256" t="str">
        <f t="shared" si="40"/>
        <v/>
      </c>
      <c r="Z136" s="224" t="str">
        <f>IF(IFERROR(INDEX('tuot-rehukirjanpito'!I:I,MATCH(A136,'tuot-rehukirjanpito'!G:G,0)),)=0,"",INDEX('tuot-rehukirjanpito'!I:I,MATCH(A136,'tuot-rehukirjanpito'!G:G,0)))</f>
        <v/>
      </c>
      <c r="AA136" s="224">
        <f>SUMIFS('tuot-INFO'!$K$10:$K$115,'tuot-INFO'!$A$10:$A$115,'tuot-PVÄ'!B136)</f>
        <v>62</v>
      </c>
      <c r="AB136" s="224">
        <f>SUMIFS('rehu-vesi-INFO'!$R:$R,'rehu-vesi-INFO'!$A:$A,'tuot-PVÄ'!B136)</f>
        <v>1668</v>
      </c>
      <c r="AC136" s="224">
        <f>SUMIFS('rehu-vesi-INFO'!$S:$S,'rehu-vesi-INFO'!$A:$A,'tuot-PVÄ'!B136)</f>
        <v>1772</v>
      </c>
      <c r="AD136" s="224">
        <f t="shared" si="48"/>
        <v>104</v>
      </c>
      <c r="AE136" s="224">
        <f t="shared" si="49"/>
        <v>0</v>
      </c>
      <c r="AF136" s="224">
        <f t="shared" si="50"/>
        <v>166.8</v>
      </c>
      <c r="AG136" s="224">
        <f t="shared" si="51"/>
        <v>10.4</v>
      </c>
      <c r="AH136" s="257">
        <f t="shared" si="54"/>
        <v>0</v>
      </c>
      <c r="AI136" s="258">
        <f t="shared" si="55"/>
        <v>0</v>
      </c>
      <c r="AJ136" s="55">
        <f>SUMIFS('tuot-INFO'!W:W,'tuot-INFO'!$A:$A,'tuot-PVÄ'!B136)</f>
        <v>89.37299999999999</v>
      </c>
      <c r="AK136" s="55">
        <f>SUMIFS('tuot-INFO'!X:X,'tuot-INFO'!$A:$A,'tuot-PVÄ'!B136)</f>
        <v>9.61</v>
      </c>
    </row>
    <row r="137" spans="1:37" x14ac:dyDescent="0.25">
      <c r="A137" s="169">
        <f t="shared" si="52"/>
        <v>42623</v>
      </c>
      <c r="B137" s="23">
        <f>ROUNDUP((A137-Yleistiedot!$B$4)/7,0)</f>
        <v>37</v>
      </c>
      <c r="C137" s="16"/>
      <c r="D137" s="25"/>
      <c r="E137" s="25"/>
      <c r="F137" s="25"/>
      <c r="G137" s="25"/>
      <c r="H137" s="25"/>
      <c r="I137" s="65">
        <f t="shared" si="47"/>
        <v>0</v>
      </c>
      <c r="J137" s="26"/>
      <c r="K137" s="25"/>
      <c r="L137" s="16"/>
      <c r="M137" s="16"/>
      <c r="N137" s="25"/>
      <c r="O137" s="30"/>
      <c r="P137" s="252">
        <f t="shared" si="42"/>
        <v>9990</v>
      </c>
      <c r="Q137" s="253">
        <f t="shared" si="43"/>
        <v>0</v>
      </c>
      <c r="R137" s="253">
        <f t="shared" si="44"/>
        <v>0</v>
      </c>
      <c r="S137" s="251">
        <f>SUMIFS('tuot-rehukirjanpito'!D:D,'tuot-rehukirjanpito'!A:A,A137)</f>
        <v>0</v>
      </c>
      <c r="T137" s="254">
        <f t="shared" si="53"/>
        <v>1098.9000000000001</v>
      </c>
      <c r="U137" s="254">
        <f t="shared" si="41"/>
        <v>1098.8999999999999</v>
      </c>
      <c r="V137" s="252">
        <f t="shared" si="45"/>
        <v>-148351.49999999962</v>
      </c>
      <c r="W137" s="255">
        <f t="shared" si="46"/>
        <v>-134.99999999999966</v>
      </c>
      <c r="X137" s="256" t="str">
        <f t="shared" si="39"/>
        <v/>
      </c>
      <c r="Y137" s="256" t="str">
        <f t="shared" si="40"/>
        <v/>
      </c>
      <c r="Z137" s="224" t="str">
        <f>IF(IFERROR(INDEX('tuot-rehukirjanpito'!I:I,MATCH(A137,'tuot-rehukirjanpito'!G:G,0)),)=0,"",INDEX('tuot-rehukirjanpito'!I:I,MATCH(A137,'tuot-rehukirjanpito'!G:G,0)))</f>
        <v/>
      </c>
      <c r="AA137" s="224">
        <f>SUMIFS('tuot-INFO'!$K$10:$K$115,'tuot-INFO'!$A$10:$A$115,'tuot-PVÄ'!B137)</f>
        <v>62.2</v>
      </c>
      <c r="AB137" s="224">
        <f>SUMIFS('rehu-vesi-INFO'!$R:$R,'rehu-vesi-INFO'!$A:$A,'tuot-PVÄ'!B137)</f>
        <v>1671</v>
      </c>
      <c r="AC137" s="224">
        <f>SUMIFS('rehu-vesi-INFO'!$S:$S,'rehu-vesi-INFO'!$A:$A,'tuot-PVÄ'!B137)</f>
        <v>1774</v>
      </c>
      <c r="AD137" s="224">
        <f t="shared" si="48"/>
        <v>103</v>
      </c>
      <c r="AE137" s="224">
        <f t="shared" si="49"/>
        <v>0</v>
      </c>
      <c r="AF137" s="224">
        <f t="shared" si="50"/>
        <v>167.1</v>
      </c>
      <c r="AG137" s="224">
        <f t="shared" si="51"/>
        <v>10.3</v>
      </c>
      <c r="AH137" s="257">
        <f t="shared" si="54"/>
        <v>0</v>
      </c>
      <c r="AI137" s="258">
        <f t="shared" si="55"/>
        <v>0</v>
      </c>
      <c r="AJ137" s="55">
        <f>SUMIFS('tuot-INFO'!W:W,'tuot-INFO'!$A:$A,'tuot-PVÄ'!B137)</f>
        <v>89.28</v>
      </c>
      <c r="AK137" s="55">
        <f>SUMIFS('tuot-INFO'!X:X,'tuot-INFO'!$A:$A,'tuot-PVÄ'!B137)</f>
        <v>9.5999999999999943</v>
      </c>
    </row>
    <row r="138" spans="1:37" x14ac:dyDescent="0.25">
      <c r="A138" s="169">
        <f t="shared" si="52"/>
        <v>42624</v>
      </c>
      <c r="B138" s="23">
        <f>ROUNDUP((A138-Yleistiedot!$B$4)/7,0)</f>
        <v>37</v>
      </c>
      <c r="C138" s="16"/>
      <c r="D138" s="25"/>
      <c r="E138" s="25"/>
      <c r="F138" s="25"/>
      <c r="G138" s="25"/>
      <c r="H138" s="25"/>
      <c r="I138" s="65">
        <f t="shared" si="47"/>
        <v>0</v>
      </c>
      <c r="J138" s="26"/>
      <c r="K138" s="25"/>
      <c r="L138" s="16"/>
      <c r="M138" s="16"/>
      <c r="N138" s="25"/>
      <c r="O138" s="30"/>
      <c r="P138" s="252">
        <f t="shared" si="42"/>
        <v>9990</v>
      </c>
      <c r="Q138" s="253">
        <f t="shared" si="43"/>
        <v>0</v>
      </c>
      <c r="R138" s="253">
        <f t="shared" si="44"/>
        <v>0</v>
      </c>
      <c r="S138" s="251">
        <f>SUMIFS('tuot-rehukirjanpito'!D:D,'tuot-rehukirjanpito'!A:A,A138)</f>
        <v>0</v>
      </c>
      <c r="T138" s="254">
        <f t="shared" si="53"/>
        <v>1098.9000000000001</v>
      </c>
      <c r="U138" s="254">
        <f t="shared" si="41"/>
        <v>1098.8999999999999</v>
      </c>
      <c r="V138" s="252">
        <f t="shared" si="45"/>
        <v>-149450.39999999962</v>
      </c>
      <c r="W138" s="255">
        <f t="shared" si="46"/>
        <v>-135.99999999999966</v>
      </c>
      <c r="X138" s="256" t="str">
        <f t="shared" si="39"/>
        <v/>
      </c>
      <c r="Y138" s="256" t="str">
        <f t="shared" si="40"/>
        <v/>
      </c>
      <c r="Z138" s="224" t="str">
        <f>IF(IFERROR(INDEX('tuot-rehukirjanpito'!I:I,MATCH(A138,'tuot-rehukirjanpito'!G:G,0)),)=0,"",INDEX('tuot-rehukirjanpito'!I:I,MATCH(A138,'tuot-rehukirjanpito'!G:G,0)))</f>
        <v/>
      </c>
      <c r="AA138" s="224">
        <f>SUMIFS('tuot-INFO'!$K$10:$K$115,'tuot-INFO'!$A$10:$A$115,'tuot-PVÄ'!B138)</f>
        <v>62.2</v>
      </c>
      <c r="AB138" s="224">
        <f>SUMIFS('rehu-vesi-INFO'!$R:$R,'rehu-vesi-INFO'!$A:$A,'tuot-PVÄ'!B138)</f>
        <v>1671</v>
      </c>
      <c r="AC138" s="224">
        <f>SUMIFS('rehu-vesi-INFO'!$S:$S,'rehu-vesi-INFO'!$A:$A,'tuot-PVÄ'!B138)</f>
        <v>1774</v>
      </c>
      <c r="AD138" s="224">
        <f t="shared" si="48"/>
        <v>103</v>
      </c>
      <c r="AE138" s="224">
        <f t="shared" si="49"/>
        <v>0</v>
      </c>
      <c r="AF138" s="224">
        <f t="shared" si="50"/>
        <v>167.1</v>
      </c>
      <c r="AG138" s="224">
        <f t="shared" si="51"/>
        <v>10.3</v>
      </c>
      <c r="AH138" s="257">
        <f t="shared" si="54"/>
        <v>0</v>
      </c>
      <c r="AI138" s="258">
        <f t="shared" si="55"/>
        <v>0</v>
      </c>
      <c r="AJ138" s="55">
        <f>SUMIFS('tuot-INFO'!W:W,'tuot-INFO'!$A:$A,'tuot-PVÄ'!B138)</f>
        <v>89.28</v>
      </c>
      <c r="AK138" s="55">
        <f>SUMIFS('tuot-INFO'!X:X,'tuot-INFO'!$A:$A,'tuot-PVÄ'!B138)</f>
        <v>9.5999999999999943</v>
      </c>
    </row>
    <row r="139" spans="1:37" x14ac:dyDescent="0.25">
      <c r="A139" s="169">
        <f t="shared" si="52"/>
        <v>42625</v>
      </c>
      <c r="B139" s="23">
        <f>ROUNDUP((A139-Yleistiedot!$B$4)/7,0)</f>
        <v>37</v>
      </c>
      <c r="C139" s="16"/>
      <c r="D139" s="25"/>
      <c r="E139" s="25"/>
      <c r="F139" s="25"/>
      <c r="G139" s="25"/>
      <c r="H139" s="25"/>
      <c r="I139" s="65">
        <f t="shared" si="47"/>
        <v>0</v>
      </c>
      <c r="J139" s="26"/>
      <c r="K139" s="25"/>
      <c r="L139" s="16"/>
      <c r="M139" s="16"/>
      <c r="N139" s="25"/>
      <c r="O139" s="30"/>
      <c r="P139" s="252">
        <f t="shared" si="42"/>
        <v>9990</v>
      </c>
      <c r="Q139" s="253">
        <f t="shared" si="43"/>
        <v>0</v>
      </c>
      <c r="R139" s="253">
        <f t="shared" si="44"/>
        <v>0</v>
      </c>
      <c r="S139" s="251">
        <f>SUMIFS('tuot-rehukirjanpito'!D:D,'tuot-rehukirjanpito'!A:A,A139)</f>
        <v>0</v>
      </c>
      <c r="T139" s="254">
        <f t="shared" si="53"/>
        <v>1098.9000000000001</v>
      </c>
      <c r="U139" s="254">
        <f t="shared" si="41"/>
        <v>1098.8999999999999</v>
      </c>
      <c r="V139" s="252">
        <f t="shared" si="45"/>
        <v>-150549.29999999961</v>
      </c>
      <c r="W139" s="255">
        <f t="shared" si="46"/>
        <v>-136.99999999999966</v>
      </c>
      <c r="X139" s="256" t="str">
        <f t="shared" si="39"/>
        <v/>
      </c>
      <c r="Y139" s="256" t="str">
        <f t="shared" si="40"/>
        <v/>
      </c>
      <c r="Z139" s="224" t="str">
        <f>IF(IFERROR(INDEX('tuot-rehukirjanpito'!I:I,MATCH(A139,'tuot-rehukirjanpito'!G:G,0)),)=0,"",INDEX('tuot-rehukirjanpito'!I:I,MATCH(A139,'tuot-rehukirjanpito'!G:G,0)))</f>
        <v/>
      </c>
      <c r="AA139" s="224">
        <f>SUMIFS('tuot-INFO'!$K$10:$K$115,'tuot-INFO'!$A$10:$A$115,'tuot-PVÄ'!B139)</f>
        <v>62.2</v>
      </c>
      <c r="AB139" s="224">
        <f>SUMIFS('rehu-vesi-INFO'!$R:$R,'rehu-vesi-INFO'!$A:$A,'tuot-PVÄ'!B139)</f>
        <v>1671</v>
      </c>
      <c r="AC139" s="224">
        <f>SUMIFS('rehu-vesi-INFO'!$S:$S,'rehu-vesi-INFO'!$A:$A,'tuot-PVÄ'!B139)</f>
        <v>1774</v>
      </c>
      <c r="AD139" s="224">
        <f t="shared" si="48"/>
        <v>103</v>
      </c>
      <c r="AE139" s="224">
        <f t="shared" si="49"/>
        <v>0</v>
      </c>
      <c r="AF139" s="224">
        <f t="shared" si="50"/>
        <v>167.1</v>
      </c>
      <c r="AG139" s="224">
        <f t="shared" si="51"/>
        <v>10.3</v>
      </c>
      <c r="AH139" s="257">
        <f t="shared" si="54"/>
        <v>0</v>
      </c>
      <c r="AI139" s="258">
        <f t="shared" si="55"/>
        <v>0</v>
      </c>
      <c r="AJ139" s="55">
        <f>SUMIFS('tuot-INFO'!W:W,'tuot-INFO'!$A:$A,'tuot-PVÄ'!B139)</f>
        <v>89.28</v>
      </c>
      <c r="AK139" s="55">
        <f>SUMIFS('tuot-INFO'!X:X,'tuot-INFO'!$A:$A,'tuot-PVÄ'!B139)</f>
        <v>9.5999999999999943</v>
      </c>
    </row>
    <row r="140" spans="1:37" x14ac:dyDescent="0.25">
      <c r="A140" s="169">
        <f t="shared" si="52"/>
        <v>42626</v>
      </c>
      <c r="B140" s="23">
        <f>ROUNDUP((A140-Yleistiedot!$B$4)/7,0)</f>
        <v>37</v>
      </c>
      <c r="C140" s="16"/>
      <c r="D140" s="25"/>
      <c r="E140" s="25"/>
      <c r="F140" s="25"/>
      <c r="G140" s="25"/>
      <c r="H140" s="25"/>
      <c r="I140" s="65">
        <f t="shared" si="47"/>
        <v>0</v>
      </c>
      <c r="J140" s="26"/>
      <c r="K140" s="25"/>
      <c r="L140" s="16"/>
      <c r="M140" s="16"/>
      <c r="N140" s="25"/>
      <c r="O140" s="30"/>
      <c r="P140" s="252">
        <f t="shared" si="42"/>
        <v>9990</v>
      </c>
      <c r="Q140" s="253">
        <f t="shared" si="43"/>
        <v>0</v>
      </c>
      <c r="R140" s="253">
        <f t="shared" si="44"/>
        <v>0</v>
      </c>
      <c r="S140" s="251">
        <f>SUMIFS('tuot-rehukirjanpito'!D:D,'tuot-rehukirjanpito'!A:A,A140)</f>
        <v>0</v>
      </c>
      <c r="T140" s="254">
        <f t="shared" si="53"/>
        <v>1098.9000000000001</v>
      </c>
      <c r="U140" s="254">
        <f t="shared" si="41"/>
        <v>1098.8999999999999</v>
      </c>
      <c r="V140" s="252">
        <f t="shared" si="45"/>
        <v>-151648.1999999996</v>
      </c>
      <c r="W140" s="255">
        <f t="shared" si="46"/>
        <v>-137.99999999999966</v>
      </c>
      <c r="X140" s="256" t="str">
        <f t="shared" si="39"/>
        <v/>
      </c>
      <c r="Y140" s="256" t="str">
        <f t="shared" si="40"/>
        <v/>
      </c>
      <c r="Z140" s="224" t="str">
        <f>IF(IFERROR(INDEX('tuot-rehukirjanpito'!I:I,MATCH(A140,'tuot-rehukirjanpito'!G:G,0)),)=0,"",INDEX('tuot-rehukirjanpito'!I:I,MATCH(A140,'tuot-rehukirjanpito'!G:G,0)))</f>
        <v/>
      </c>
      <c r="AA140" s="224">
        <f>SUMIFS('tuot-INFO'!$K$10:$K$115,'tuot-INFO'!$A$10:$A$115,'tuot-PVÄ'!B140)</f>
        <v>62.2</v>
      </c>
      <c r="AB140" s="224">
        <f>SUMIFS('rehu-vesi-INFO'!$R:$R,'rehu-vesi-INFO'!$A:$A,'tuot-PVÄ'!B140)</f>
        <v>1671</v>
      </c>
      <c r="AC140" s="224">
        <f>SUMIFS('rehu-vesi-INFO'!$S:$S,'rehu-vesi-INFO'!$A:$A,'tuot-PVÄ'!B140)</f>
        <v>1774</v>
      </c>
      <c r="AD140" s="224">
        <f t="shared" si="48"/>
        <v>103</v>
      </c>
      <c r="AE140" s="224">
        <f t="shared" si="49"/>
        <v>0</v>
      </c>
      <c r="AF140" s="224">
        <f t="shared" si="50"/>
        <v>167.1</v>
      </c>
      <c r="AG140" s="224">
        <f t="shared" si="51"/>
        <v>10.3</v>
      </c>
      <c r="AH140" s="257">
        <f t="shared" si="54"/>
        <v>0</v>
      </c>
      <c r="AI140" s="258">
        <f t="shared" si="55"/>
        <v>0</v>
      </c>
      <c r="AJ140" s="55">
        <f>SUMIFS('tuot-INFO'!W:W,'tuot-INFO'!$A:$A,'tuot-PVÄ'!B140)</f>
        <v>89.28</v>
      </c>
      <c r="AK140" s="55">
        <f>SUMIFS('tuot-INFO'!X:X,'tuot-INFO'!$A:$A,'tuot-PVÄ'!B140)</f>
        <v>9.5999999999999943</v>
      </c>
    </row>
    <row r="141" spans="1:37" x14ac:dyDescent="0.25">
      <c r="A141" s="169">
        <f t="shared" si="52"/>
        <v>42627</v>
      </c>
      <c r="B141" s="23">
        <f>ROUNDUP((A141-Yleistiedot!$B$4)/7,0)</f>
        <v>37</v>
      </c>
      <c r="C141" s="16"/>
      <c r="D141" s="25"/>
      <c r="E141" s="25"/>
      <c r="F141" s="25"/>
      <c r="G141" s="25"/>
      <c r="H141" s="25"/>
      <c r="I141" s="65">
        <f t="shared" si="47"/>
        <v>0</v>
      </c>
      <c r="J141" s="26"/>
      <c r="K141" s="25"/>
      <c r="L141" s="16"/>
      <c r="M141" s="16"/>
      <c r="N141" s="25"/>
      <c r="O141" s="30"/>
      <c r="P141" s="252">
        <f t="shared" si="42"/>
        <v>9990</v>
      </c>
      <c r="Q141" s="253">
        <f t="shared" si="43"/>
        <v>0</v>
      </c>
      <c r="R141" s="253">
        <f t="shared" si="44"/>
        <v>0</v>
      </c>
      <c r="S141" s="251">
        <f>SUMIFS('tuot-rehukirjanpito'!D:D,'tuot-rehukirjanpito'!A:A,A141)</f>
        <v>0</v>
      </c>
      <c r="T141" s="254">
        <f t="shared" si="53"/>
        <v>1098.9000000000001</v>
      </c>
      <c r="U141" s="254">
        <f t="shared" si="41"/>
        <v>1098.8999999999999</v>
      </c>
      <c r="V141" s="252">
        <f t="shared" si="45"/>
        <v>-152747.0999999996</v>
      </c>
      <c r="W141" s="255">
        <f t="shared" si="46"/>
        <v>-138.99999999999966</v>
      </c>
      <c r="X141" s="256" t="str">
        <f t="shared" si="39"/>
        <v/>
      </c>
      <c r="Y141" s="256" t="str">
        <f t="shared" si="40"/>
        <v/>
      </c>
      <c r="Z141" s="224" t="str">
        <f>IF(IFERROR(INDEX('tuot-rehukirjanpito'!I:I,MATCH(A141,'tuot-rehukirjanpito'!G:G,0)),)=0,"",INDEX('tuot-rehukirjanpito'!I:I,MATCH(A141,'tuot-rehukirjanpito'!G:G,0)))</f>
        <v/>
      </c>
      <c r="AA141" s="224">
        <f>SUMIFS('tuot-INFO'!$K$10:$K$115,'tuot-INFO'!$A$10:$A$115,'tuot-PVÄ'!B141)</f>
        <v>62.2</v>
      </c>
      <c r="AB141" s="224">
        <f>SUMIFS('rehu-vesi-INFO'!$R:$R,'rehu-vesi-INFO'!$A:$A,'tuot-PVÄ'!B141)</f>
        <v>1671</v>
      </c>
      <c r="AC141" s="224">
        <f>SUMIFS('rehu-vesi-INFO'!$S:$S,'rehu-vesi-INFO'!$A:$A,'tuot-PVÄ'!B141)</f>
        <v>1774</v>
      </c>
      <c r="AD141" s="224">
        <f t="shared" si="48"/>
        <v>103</v>
      </c>
      <c r="AE141" s="224">
        <f t="shared" si="49"/>
        <v>0</v>
      </c>
      <c r="AF141" s="224">
        <f t="shared" si="50"/>
        <v>167.1</v>
      </c>
      <c r="AG141" s="224">
        <f t="shared" si="51"/>
        <v>10.3</v>
      </c>
      <c r="AH141" s="257">
        <f t="shared" si="54"/>
        <v>0</v>
      </c>
      <c r="AI141" s="258">
        <f t="shared" si="55"/>
        <v>0</v>
      </c>
      <c r="AJ141" s="55">
        <f>SUMIFS('tuot-INFO'!W:W,'tuot-INFO'!$A:$A,'tuot-PVÄ'!B141)</f>
        <v>89.28</v>
      </c>
      <c r="AK141" s="55">
        <f>SUMIFS('tuot-INFO'!X:X,'tuot-INFO'!$A:$A,'tuot-PVÄ'!B141)</f>
        <v>9.5999999999999943</v>
      </c>
    </row>
    <row r="142" spans="1:37" x14ac:dyDescent="0.25">
      <c r="A142" s="169">
        <f t="shared" si="52"/>
        <v>42628</v>
      </c>
      <c r="B142" s="23">
        <f>ROUNDUP((A142-Yleistiedot!$B$4)/7,0)</f>
        <v>37</v>
      </c>
      <c r="C142" s="16"/>
      <c r="D142" s="25"/>
      <c r="E142" s="25"/>
      <c r="F142" s="25"/>
      <c r="G142" s="25"/>
      <c r="H142" s="25"/>
      <c r="I142" s="65">
        <f t="shared" si="47"/>
        <v>0</v>
      </c>
      <c r="J142" s="26"/>
      <c r="K142" s="25"/>
      <c r="L142" s="16"/>
      <c r="M142" s="16"/>
      <c r="N142" s="25"/>
      <c r="O142" s="30"/>
      <c r="P142" s="252">
        <f t="shared" si="42"/>
        <v>9990</v>
      </c>
      <c r="Q142" s="253">
        <f t="shared" si="43"/>
        <v>0</v>
      </c>
      <c r="R142" s="253">
        <f t="shared" si="44"/>
        <v>0</v>
      </c>
      <c r="S142" s="251">
        <f>SUMIFS('tuot-rehukirjanpito'!D:D,'tuot-rehukirjanpito'!A:A,A142)</f>
        <v>0</v>
      </c>
      <c r="T142" s="254">
        <f t="shared" si="53"/>
        <v>1098.9000000000001</v>
      </c>
      <c r="U142" s="254">
        <f t="shared" si="41"/>
        <v>1098.8999999999999</v>
      </c>
      <c r="V142" s="252">
        <f t="shared" si="45"/>
        <v>-153845.99999999959</v>
      </c>
      <c r="W142" s="255">
        <f t="shared" si="46"/>
        <v>-139.99999999999966</v>
      </c>
      <c r="X142" s="256" t="str">
        <f t="shared" si="39"/>
        <v/>
      </c>
      <c r="Y142" s="256" t="str">
        <f t="shared" si="40"/>
        <v/>
      </c>
      <c r="Z142" s="224" t="str">
        <f>IF(IFERROR(INDEX('tuot-rehukirjanpito'!I:I,MATCH(A142,'tuot-rehukirjanpito'!G:G,0)),)=0,"",INDEX('tuot-rehukirjanpito'!I:I,MATCH(A142,'tuot-rehukirjanpito'!G:G,0)))</f>
        <v/>
      </c>
      <c r="AA142" s="224">
        <f>SUMIFS('tuot-INFO'!$K$10:$K$115,'tuot-INFO'!$A$10:$A$115,'tuot-PVÄ'!B142)</f>
        <v>62.2</v>
      </c>
      <c r="AB142" s="224">
        <f>SUMIFS('rehu-vesi-INFO'!$R:$R,'rehu-vesi-INFO'!$A:$A,'tuot-PVÄ'!B142)</f>
        <v>1671</v>
      </c>
      <c r="AC142" s="224">
        <f>SUMIFS('rehu-vesi-INFO'!$S:$S,'rehu-vesi-INFO'!$A:$A,'tuot-PVÄ'!B142)</f>
        <v>1774</v>
      </c>
      <c r="AD142" s="224">
        <f t="shared" si="48"/>
        <v>103</v>
      </c>
      <c r="AE142" s="224">
        <f t="shared" si="49"/>
        <v>0</v>
      </c>
      <c r="AF142" s="224">
        <f t="shared" si="50"/>
        <v>167.1</v>
      </c>
      <c r="AG142" s="224">
        <f t="shared" si="51"/>
        <v>10.3</v>
      </c>
      <c r="AH142" s="257">
        <f t="shared" si="54"/>
        <v>0</v>
      </c>
      <c r="AI142" s="258">
        <f t="shared" si="55"/>
        <v>0</v>
      </c>
      <c r="AJ142" s="55">
        <f>SUMIFS('tuot-INFO'!W:W,'tuot-INFO'!$A:$A,'tuot-PVÄ'!B142)</f>
        <v>89.28</v>
      </c>
      <c r="AK142" s="55">
        <f>SUMIFS('tuot-INFO'!X:X,'tuot-INFO'!$A:$A,'tuot-PVÄ'!B142)</f>
        <v>9.5999999999999943</v>
      </c>
    </row>
    <row r="143" spans="1:37" x14ac:dyDescent="0.25">
      <c r="A143" s="169">
        <f t="shared" si="52"/>
        <v>42629</v>
      </c>
      <c r="B143" s="23">
        <f>ROUNDUP((A143-Yleistiedot!$B$4)/7,0)</f>
        <v>37</v>
      </c>
      <c r="C143" s="16"/>
      <c r="D143" s="25"/>
      <c r="E143" s="25"/>
      <c r="F143" s="25"/>
      <c r="G143" s="25"/>
      <c r="H143" s="25"/>
      <c r="I143" s="65">
        <f t="shared" si="47"/>
        <v>0</v>
      </c>
      <c r="J143" s="26"/>
      <c r="K143" s="25"/>
      <c r="L143" s="16"/>
      <c r="M143" s="16"/>
      <c r="N143" s="25"/>
      <c r="O143" s="30"/>
      <c r="P143" s="252">
        <f t="shared" si="42"/>
        <v>9990</v>
      </c>
      <c r="Q143" s="253">
        <f t="shared" si="43"/>
        <v>0</v>
      </c>
      <c r="R143" s="253">
        <f t="shared" si="44"/>
        <v>0</v>
      </c>
      <c r="S143" s="251">
        <f>SUMIFS('tuot-rehukirjanpito'!D:D,'tuot-rehukirjanpito'!A:A,A143)</f>
        <v>0</v>
      </c>
      <c r="T143" s="254">
        <f t="shared" si="53"/>
        <v>1098.9000000000001</v>
      </c>
      <c r="U143" s="254">
        <f t="shared" si="41"/>
        <v>1098.8999999999999</v>
      </c>
      <c r="V143" s="252">
        <f t="shared" si="45"/>
        <v>-154944.89999999959</v>
      </c>
      <c r="W143" s="255">
        <f t="shared" si="46"/>
        <v>-140.99999999999963</v>
      </c>
      <c r="X143" s="256" t="str">
        <f t="shared" si="39"/>
        <v/>
      </c>
      <c r="Y143" s="256" t="str">
        <f t="shared" si="40"/>
        <v/>
      </c>
      <c r="Z143" s="224" t="str">
        <f>IF(IFERROR(INDEX('tuot-rehukirjanpito'!I:I,MATCH(A143,'tuot-rehukirjanpito'!G:G,0)),)=0,"",INDEX('tuot-rehukirjanpito'!I:I,MATCH(A143,'tuot-rehukirjanpito'!G:G,0)))</f>
        <v/>
      </c>
      <c r="AA143" s="224">
        <f>SUMIFS('tuot-INFO'!$K$10:$K$115,'tuot-INFO'!$A$10:$A$115,'tuot-PVÄ'!B143)</f>
        <v>62.2</v>
      </c>
      <c r="AB143" s="224">
        <f>SUMIFS('rehu-vesi-INFO'!$R:$R,'rehu-vesi-INFO'!$A:$A,'tuot-PVÄ'!B143)</f>
        <v>1671</v>
      </c>
      <c r="AC143" s="224">
        <f>SUMIFS('rehu-vesi-INFO'!$S:$S,'rehu-vesi-INFO'!$A:$A,'tuot-PVÄ'!B143)</f>
        <v>1774</v>
      </c>
      <c r="AD143" s="224">
        <f t="shared" si="48"/>
        <v>103</v>
      </c>
      <c r="AE143" s="224">
        <f t="shared" si="49"/>
        <v>0</v>
      </c>
      <c r="AF143" s="224">
        <f t="shared" si="50"/>
        <v>167.1</v>
      </c>
      <c r="AG143" s="224">
        <f t="shared" si="51"/>
        <v>10.3</v>
      </c>
      <c r="AH143" s="257">
        <f t="shared" si="54"/>
        <v>0</v>
      </c>
      <c r="AI143" s="258">
        <f t="shared" si="55"/>
        <v>0</v>
      </c>
      <c r="AJ143" s="55">
        <f>SUMIFS('tuot-INFO'!W:W,'tuot-INFO'!$A:$A,'tuot-PVÄ'!B143)</f>
        <v>89.28</v>
      </c>
      <c r="AK143" s="55">
        <f>SUMIFS('tuot-INFO'!X:X,'tuot-INFO'!$A:$A,'tuot-PVÄ'!B143)</f>
        <v>9.5999999999999943</v>
      </c>
    </row>
    <row r="144" spans="1:37" x14ac:dyDescent="0.25">
      <c r="A144" s="169">
        <f t="shared" si="52"/>
        <v>42630</v>
      </c>
      <c r="B144" s="23">
        <f>ROUNDUP((A144-Yleistiedot!$B$4)/7,0)</f>
        <v>38</v>
      </c>
      <c r="C144" s="16"/>
      <c r="D144" s="25"/>
      <c r="E144" s="25"/>
      <c r="F144" s="25"/>
      <c r="G144" s="25"/>
      <c r="H144" s="25"/>
      <c r="I144" s="65">
        <f t="shared" si="47"/>
        <v>0</v>
      </c>
      <c r="J144" s="26"/>
      <c r="K144" s="25"/>
      <c r="L144" s="16"/>
      <c r="M144" s="16"/>
      <c r="N144" s="25"/>
      <c r="O144" s="30"/>
      <c r="P144" s="252">
        <f t="shared" si="42"/>
        <v>9990</v>
      </c>
      <c r="Q144" s="253">
        <f t="shared" si="43"/>
        <v>0</v>
      </c>
      <c r="R144" s="253">
        <f t="shared" si="44"/>
        <v>0</v>
      </c>
      <c r="S144" s="251">
        <f>SUMIFS('tuot-rehukirjanpito'!D:D,'tuot-rehukirjanpito'!A:A,A144)</f>
        <v>0</v>
      </c>
      <c r="T144" s="254">
        <f t="shared" si="53"/>
        <v>1098.9000000000001</v>
      </c>
      <c r="U144" s="254">
        <f t="shared" si="41"/>
        <v>1098.8999999999999</v>
      </c>
      <c r="V144" s="252">
        <f t="shared" si="45"/>
        <v>-156043.79999999958</v>
      </c>
      <c r="W144" s="255">
        <f t="shared" si="46"/>
        <v>-141.99999999999963</v>
      </c>
      <c r="X144" s="256" t="str">
        <f t="shared" si="39"/>
        <v/>
      </c>
      <c r="Y144" s="256" t="str">
        <f t="shared" si="40"/>
        <v/>
      </c>
      <c r="Z144" s="224" t="str">
        <f>IF(IFERROR(INDEX('tuot-rehukirjanpito'!I:I,MATCH(A144,'tuot-rehukirjanpito'!G:G,0)),)=0,"",INDEX('tuot-rehukirjanpito'!I:I,MATCH(A144,'tuot-rehukirjanpito'!G:G,0)))</f>
        <v/>
      </c>
      <c r="AA144" s="224">
        <f>SUMIFS('tuot-INFO'!$K$10:$K$115,'tuot-INFO'!$A$10:$A$115,'tuot-PVÄ'!B144)</f>
        <v>62.4</v>
      </c>
      <c r="AB144" s="224">
        <f>SUMIFS('rehu-vesi-INFO'!$R:$R,'rehu-vesi-INFO'!$A:$A,'tuot-PVÄ'!B144)</f>
        <v>1673</v>
      </c>
      <c r="AC144" s="224">
        <f>SUMIFS('rehu-vesi-INFO'!$S:$S,'rehu-vesi-INFO'!$A:$A,'tuot-PVÄ'!B144)</f>
        <v>1777</v>
      </c>
      <c r="AD144" s="224">
        <f t="shared" si="48"/>
        <v>104</v>
      </c>
      <c r="AE144" s="224">
        <f t="shared" si="49"/>
        <v>0</v>
      </c>
      <c r="AF144" s="224">
        <f t="shared" si="50"/>
        <v>167.3</v>
      </c>
      <c r="AG144" s="224">
        <f t="shared" si="51"/>
        <v>10.4</v>
      </c>
      <c r="AH144" s="257">
        <f t="shared" si="54"/>
        <v>0</v>
      </c>
      <c r="AI144" s="258">
        <f t="shared" si="55"/>
        <v>0</v>
      </c>
      <c r="AJ144" s="55">
        <f>SUMIFS('tuot-INFO'!W:W,'tuot-INFO'!$A:$A,'tuot-PVÄ'!B144)</f>
        <v>89.187000000000012</v>
      </c>
      <c r="AK144" s="55">
        <f>SUMIFS('tuot-INFO'!X:X,'tuot-INFO'!$A:$A,'tuot-PVÄ'!B144)</f>
        <v>9.5899999999999892</v>
      </c>
    </row>
    <row r="145" spans="1:37" x14ac:dyDescent="0.25">
      <c r="A145" s="169">
        <f t="shared" si="52"/>
        <v>42631</v>
      </c>
      <c r="B145" s="23">
        <f>ROUNDUP((A145-Yleistiedot!$B$4)/7,0)</f>
        <v>38</v>
      </c>
      <c r="C145" s="16"/>
      <c r="D145" s="25"/>
      <c r="E145" s="25"/>
      <c r="F145" s="25"/>
      <c r="G145" s="25"/>
      <c r="H145" s="25"/>
      <c r="I145" s="65">
        <f t="shared" si="47"/>
        <v>0</v>
      </c>
      <c r="J145" s="26"/>
      <c r="K145" s="25"/>
      <c r="L145" s="16"/>
      <c r="M145" s="16"/>
      <c r="N145" s="25"/>
      <c r="O145" s="30"/>
      <c r="P145" s="252">
        <f t="shared" si="42"/>
        <v>9990</v>
      </c>
      <c r="Q145" s="253">
        <f t="shared" si="43"/>
        <v>0</v>
      </c>
      <c r="R145" s="253">
        <f t="shared" si="44"/>
        <v>0</v>
      </c>
      <c r="S145" s="251">
        <f>SUMIFS('tuot-rehukirjanpito'!D:D,'tuot-rehukirjanpito'!A:A,A145)</f>
        <v>0</v>
      </c>
      <c r="T145" s="254">
        <f t="shared" si="53"/>
        <v>1098.9000000000001</v>
      </c>
      <c r="U145" s="254">
        <f t="shared" si="41"/>
        <v>1098.8999999999999</v>
      </c>
      <c r="V145" s="252">
        <f t="shared" si="45"/>
        <v>-157142.69999999958</v>
      </c>
      <c r="W145" s="255">
        <f t="shared" si="46"/>
        <v>-142.99999999999963</v>
      </c>
      <c r="X145" s="256" t="str">
        <f t="shared" si="39"/>
        <v/>
      </c>
      <c r="Y145" s="256" t="str">
        <f t="shared" si="40"/>
        <v/>
      </c>
      <c r="Z145" s="224" t="str">
        <f>IF(IFERROR(INDEX('tuot-rehukirjanpito'!I:I,MATCH(A145,'tuot-rehukirjanpito'!G:G,0)),)=0,"",INDEX('tuot-rehukirjanpito'!I:I,MATCH(A145,'tuot-rehukirjanpito'!G:G,0)))</f>
        <v/>
      </c>
      <c r="AA145" s="224">
        <f>SUMIFS('tuot-INFO'!$K$10:$K$115,'tuot-INFO'!$A$10:$A$115,'tuot-PVÄ'!B145)</f>
        <v>62.4</v>
      </c>
      <c r="AB145" s="224">
        <f>SUMIFS('rehu-vesi-INFO'!$R:$R,'rehu-vesi-INFO'!$A:$A,'tuot-PVÄ'!B145)</f>
        <v>1673</v>
      </c>
      <c r="AC145" s="224">
        <f>SUMIFS('rehu-vesi-INFO'!$S:$S,'rehu-vesi-INFO'!$A:$A,'tuot-PVÄ'!B145)</f>
        <v>1777</v>
      </c>
      <c r="AD145" s="224">
        <f t="shared" si="48"/>
        <v>104</v>
      </c>
      <c r="AE145" s="224">
        <f t="shared" si="49"/>
        <v>0</v>
      </c>
      <c r="AF145" s="224">
        <f t="shared" si="50"/>
        <v>167.3</v>
      </c>
      <c r="AG145" s="224">
        <f t="shared" si="51"/>
        <v>10.4</v>
      </c>
      <c r="AH145" s="257">
        <f t="shared" si="54"/>
        <v>0</v>
      </c>
      <c r="AI145" s="258">
        <f t="shared" si="55"/>
        <v>0</v>
      </c>
      <c r="AJ145" s="55">
        <f>SUMIFS('tuot-INFO'!W:W,'tuot-INFO'!$A:$A,'tuot-PVÄ'!B145)</f>
        <v>89.187000000000012</v>
      </c>
      <c r="AK145" s="55">
        <f>SUMIFS('tuot-INFO'!X:X,'tuot-INFO'!$A:$A,'tuot-PVÄ'!B145)</f>
        <v>9.5899999999999892</v>
      </c>
    </row>
    <row r="146" spans="1:37" x14ac:dyDescent="0.25">
      <c r="A146" s="169">
        <f t="shared" si="52"/>
        <v>42632</v>
      </c>
      <c r="B146" s="23">
        <f>ROUNDUP((A146-Yleistiedot!$B$4)/7,0)</f>
        <v>38</v>
      </c>
      <c r="C146" s="16"/>
      <c r="D146" s="25"/>
      <c r="E146" s="25"/>
      <c r="F146" s="25"/>
      <c r="G146" s="25"/>
      <c r="H146" s="25"/>
      <c r="I146" s="65">
        <f t="shared" si="47"/>
        <v>0</v>
      </c>
      <c r="J146" s="26"/>
      <c r="K146" s="25"/>
      <c r="L146" s="16"/>
      <c r="M146" s="16"/>
      <c r="N146" s="25"/>
      <c r="O146" s="30"/>
      <c r="P146" s="252">
        <f t="shared" si="42"/>
        <v>9990</v>
      </c>
      <c r="Q146" s="253">
        <f t="shared" si="43"/>
        <v>0</v>
      </c>
      <c r="R146" s="253">
        <f t="shared" si="44"/>
        <v>0</v>
      </c>
      <c r="S146" s="251">
        <f>SUMIFS('tuot-rehukirjanpito'!D:D,'tuot-rehukirjanpito'!A:A,A146)</f>
        <v>0</v>
      </c>
      <c r="T146" s="254">
        <f t="shared" si="53"/>
        <v>1098.9000000000001</v>
      </c>
      <c r="U146" s="254">
        <f t="shared" si="41"/>
        <v>1098.8999999999999</v>
      </c>
      <c r="V146" s="252">
        <f t="shared" si="45"/>
        <v>-158241.59999999957</v>
      </c>
      <c r="W146" s="255">
        <f t="shared" si="46"/>
        <v>-143.99999999999963</v>
      </c>
      <c r="X146" s="256" t="str">
        <f t="shared" si="39"/>
        <v/>
      </c>
      <c r="Y146" s="256" t="str">
        <f t="shared" si="40"/>
        <v/>
      </c>
      <c r="Z146" s="224" t="str">
        <f>IF(IFERROR(INDEX('tuot-rehukirjanpito'!I:I,MATCH(A146,'tuot-rehukirjanpito'!G:G,0)),)=0,"",INDEX('tuot-rehukirjanpito'!I:I,MATCH(A146,'tuot-rehukirjanpito'!G:G,0)))</f>
        <v/>
      </c>
      <c r="AA146" s="224">
        <f>SUMIFS('tuot-INFO'!$K$10:$K$115,'tuot-INFO'!$A$10:$A$115,'tuot-PVÄ'!B146)</f>
        <v>62.4</v>
      </c>
      <c r="AB146" s="224">
        <f>SUMIFS('rehu-vesi-INFO'!$R:$R,'rehu-vesi-INFO'!$A:$A,'tuot-PVÄ'!B146)</f>
        <v>1673</v>
      </c>
      <c r="AC146" s="224">
        <f>SUMIFS('rehu-vesi-INFO'!$S:$S,'rehu-vesi-INFO'!$A:$A,'tuot-PVÄ'!B146)</f>
        <v>1777</v>
      </c>
      <c r="AD146" s="224">
        <f t="shared" si="48"/>
        <v>104</v>
      </c>
      <c r="AE146" s="224">
        <f t="shared" si="49"/>
        <v>0</v>
      </c>
      <c r="AF146" s="224">
        <f t="shared" si="50"/>
        <v>167.3</v>
      </c>
      <c r="AG146" s="224">
        <f t="shared" si="51"/>
        <v>10.4</v>
      </c>
      <c r="AH146" s="257">
        <f t="shared" si="54"/>
        <v>0</v>
      </c>
      <c r="AI146" s="258">
        <f t="shared" si="55"/>
        <v>0</v>
      </c>
      <c r="AJ146" s="55">
        <f>SUMIFS('tuot-INFO'!W:W,'tuot-INFO'!$A:$A,'tuot-PVÄ'!B146)</f>
        <v>89.187000000000012</v>
      </c>
      <c r="AK146" s="55">
        <f>SUMIFS('tuot-INFO'!X:X,'tuot-INFO'!$A:$A,'tuot-PVÄ'!B146)</f>
        <v>9.5899999999999892</v>
      </c>
    </row>
    <row r="147" spans="1:37" x14ac:dyDescent="0.25">
      <c r="A147" s="169">
        <f t="shared" si="52"/>
        <v>42633</v>
      </c>
      <c r="B147" s="23">
        <f>ROUNDUP((A147-Yleistiedot!$B$4)/7,0)</f>
        <v>38</v>
      </c>
      <c r="C147" s="16"/>
      <c r="D147" s="25"/>
      <c r="E147" s="25"/>
      <c r="F147" s="25"/>
      <c r="G147" s="25"/>
      <c r="H147" s="25"/>
      <c r="I147" s="65">
        <f t="shared" si="47"/>
        <v>0</v>
      </c>
      <c r="J147" s="26"/>
      <c r="K147" s="25"/>
      <c r="L147" s="16"/>
      <c r="M147" s="16"/>
      <c r="N147" s="25"/>
      <c r="O147" s="30"/>
      <c r="P147" s="252">
        <f t="shared" si="42"/>
        <v>9990</v>
      </c>
      <c r="Q147" s="253">
        <f t="shared" si="43"/>
        <v>0</v>
      </c>
      <c r="R147" s="253">
        <f t="shared" si="44"/>
        <v>0</v>
      </c>
      <c r="S147" s="251">
        <f>SUMIFS('tuot-rehukirjanpito'!D:D,'tuot-rehukirjanpito'!A:A,A147)</f>
        <v>0</v>
      </c>
      <c r="T147" s="254">
        <f t="shared" si="53"/>
        <v>1098.9000000000001</v>
      </c>
      <c r="U147" s="254">
        <f t="shared" si="41"/>
        <v>1098.8999999999999</v>
      </c>
      <c r="V147" s="252">
        <f t="shared" si="45"/>
        <v>-159340.49999999956</v>
      </c>
      <c r="W147" s="255">
        <f t="shared" ref="W147:W195" si="56">IFERROR(V147/T147,"")</f>
        <v>-144.9999999999996</v>
      </c>
      <c r="X147" s="256" t="str">
        <f t="shared" si="39"/>
        <v/>
      </c>
      <c r="Y147" s="256" t="str">
        <f t="shared" si="40"/>
        <v/>
      </c>
      <c r="Z147" s="224" t="str">
        <f>IF(IFERROR(INDEX('tuot-rehukirjanpito'!I:I,MATCH(A147,'tuot-rehukirjanpito'!G:G,0)),)=0,"",INDEX('tuot-rehukirjanpito'!I:I,MATCH(A147,'tuot-rehukirjanpito'!G:G,0)))</f>
        <v/>
      </c>
      <c r="AA147" s="224">
        <f>SUMIFS('tuot-INFO'!$K$10:$K$115,'tuot-INFO'!$A$10:$A$115,'tuot-PVÄ'!B147)</f>
        <v>62.4</v>
      </c>
      <c r="AB147" s="224">
        <f>SUMIFS('rehu-vesi-INFO'!$R:$R,'rehu-vesi-INFO'!$A:$A,'tuot-PVÄ'!B147)</f>
        <v>1673</v>
      </c>
      <c r="AC147" s="224">
        <f>SUMIFS('rehu-vesi-INFO'!$S:$S,'rehu-vesi-INFO'!$A:$A,'tuot-PVÄ'!B147)</f>
        <v>1777</v>
      </c>
      <c r="AD147" s="224">
        <f t="shared" si="48"/>
        <v>104</v>
      </c>
      <c r="AE147" s="224">
        <f t="shared" si="49"/>
        <v>0</v>
      </c>
      <c r="AF147" s="224">
        <f t="shared" si="50"/>
        <v>167.3</v>
      </c>
      <c r="AG147" s="224">
        <f t="shared" si="51"/>
        <v>10.4</v>
      </c>
      <c r="AH147" s="257">
        <f t="shared" si="54"/>
        <v>0</v>
      </c>
      <c r="AI147" s="258">
        <f t="shared" si="55"/>
        <v>0</v>
      </c>
      <c r="AJ147" s="55">
        <f>SUMIFS('tuot-INFO'!W:W,'tuot-INFO'!$A:$A,'tuot-PVÄ'!B147)</f>
        <v>89.187000000000012</v>
      </c>
      <c r="AK147" s="55">
        <f>SUMIFS('tuot-INFO'!X:X,'tuot-INFO'!$A:$A,'tuot-PVÄ'!B147)</f>
        <v>9.5899999999999892</v>
      </c>
    </row>
    <row r="148" spans="1:37" x14ac:dyDescent="0.25">
      <c r="A148" s="169">
        <f t="shared" si="52"/>
        <v>42634</v>
      </c>
      <c r="B148" s="23">
        <f>ROUNDUP((A148-Yleistiedot!$B$4)/7,0)</f>
        <v>38</v>
      </c>
      <c r="C148" s="16"/>
      <c r="D148" s="25"/>
      <c r="E148" s="25"/>
      <c r="F148" s="25"/>
      <c r="G148" s="25"/>
      <c r="H148" s="25"/>
      <c r="I148" s="65">
        <f t="shared" si="47"/>
        <v>0</v>
      </c>
      <c r="J148" s="26"/>
      <c r="K148" s="25"/>
      <c r="L148" s="16"/>
      <c r="M148" s="16"/>
      <c r="N148" s="25"/>
      <c r="O148" s="30"/>
      <c r="P148" s="252">
        <f t="shared" si="42"/>
        <v>9990</v>
      </c>
      <c r="Q148" s="253">
        <f t="shared" si="43"/>
        <v>0</v>
      </c>
      <c r="R148" s="253">
        <f t="shared" si="44"/>
        <v>0</v>
      </c>
      <c r="S148" s="251">
        <f>SUMIFS('tuot-rehukirjanpito'!D:D,'tuot-rehukirjanpito'!A:A,A148)</f>
        <v>0</v>
      </c>
      <c r="T148" s="254">
        <f t="shared" si="53"/>
        <v>1098.9000000000001</v>
      </c>
      <c r="U148" s="254">
        <f t="shared" si="41"/>
        <v>1098.8999999999999</v>
      </c>
      <c r="V148" s="252">
        <f t="shared" si="45"/>
        <v>-160439.39999999956</v>
      </c>
      <c r="W148" s="255">
        <f t="shared" si="56"/>
        <v>-145.99999999999957</v>
      </c>
      <c r="X148" s="256" t="str">
        <f t="shared" si="39"/>
        <v/>
      </c>
      <c r="Y148" s="256" t="str">
        <f t="shared" si="40"/>
        <v/>
      </c>
      <c r="Z148" s="224" t="str">
        <f>IF(IFERROR(INDEX('tuot-rehukirjanpito'!I:I,MATCH(A148,'tuot-rehukirjanpito'!G:G,0)),)=0,"",INDEX('tuot-rehukirjanpito'!I:I,MATCH(A148,'tuot-rehukirjanpito'!G:G,0)))</f>
        <v/>
      </c>
      <c r="AA148" s="224">
        <f>SUMIFS('tuot-INFO'!$K$10:$K$115,'tuot-INFO'!$A$10:$A$115,'tuot-PVÄ'!B148)</f>
        <v>62.4</v>
      </c>
      <c r="AB148" s="224">
        <f>SUMIFS('rehu-vesi-INFO'!$R:$R,'rehu-vesi-INFO'!$A:$A,'tuot-PVÄ'!B148)</f>
        <v>1673</v>
      </c>
      <c r="AC148" s="224">
        <f>SUMIFS('rehu-vesi-INFO'!$S:$S,'rehu-vesi-INFO'!$A:$A,'tuot-PVÄ'!B148)</f>
        <v>1777</v>
      </c>
      <c r="AD148" s="224">
        <f t="shared" si="48"/>
        <v>104</v>
      </c>
      <c r="AE148" s="224">
        <f t="shared" si="49"/>
        <v>0</v>
      </c>
      <c r="AF148" s="224">
        <f t="shared" si="50"/>
        <v>167.3</v>
      </c>
      <c r="AG148" s="224">
        <f t="shared" si="51"/>
        <v>10.4</v>
      </c>
      <c r="AH148" s="257">
        <f t="shared" si="54"/>
        <v>0</v>
      </c>
      <c r="AI148" s="258">
        <f t="shared" si="55"/>
        <v>0</v>
      </c>
      <c r="AJ148" s="55">
        <f>SUMIFS('tuot-INFO'!W:W,'tuot-INFO'!$A:$A,'tuot-PVÄ'!B148)</f>
        <v>89.187000000000012</v>
      </c>
      <c r="AK148" s="55">
        <f>SUMIFS('tuot-INFO'!X:X,'tuot-INFO'!$A:$A,'tuot-PVÄ'!B148)</f>
        <v>9.5899999999999892</v>
      </c>
    </row>
    <row r="149" spans="1:37" x14ac:dyDescent="0.25">
      <c r="A149" s="169">
        <f t="shared" si="52"/>
        <v>42635</v>
      </c>
      <c r="B149" s="23">
        <f>ROUNDUP((A149-Yleistiedot!$B$4)/7,0)</f>
        <v>38</v>
      </c>
      <c r="C149" s="16"/>
      <c r="D149" s="25"/>
      <c r="E149" s="25"/>
      <c r="F149" s="25"/>
      <c r="G149" s="25"/>
      <c r="H149" s="25"/>
      <c r="I149" s="65">
        <f t="shared" si="47"/>
        <v>0</v>
      </c>
      <c r="J149" s="26"/>
      <c r="K149" s="25"/>
      <c r="L149" s="16"/>
      <c r="M149" s="16"/>
      <c r="N149" s="25"/>
      <c r="O149" s="30"/>
      <c r="P149" s="252">
        <f t="shared" si="42"/>
        <v>9990</v>
      </c>
      <c r="Q149" s="253">
        <f t="shared" si="43"/>
        <v>0</v>
      </c>
      <c r="R149" s="253">
        <f t="shared" si="44"/>
        <v>0</v>
      </c>
      <c r="S149" s="251">
        <f>SUMIFS('tuot-rehukirjanpito'!D:D,'tuot-rehukirjanpito'!A:A,A149)</f>
        <v>0</v>
      </c>
      <c r="T149" s="254">
        <f t="shared" si="53"/>
        <v>1098.9000000000001</v>
      </c>
      <c r="U149" s="254">
        <f t="shared" si="41"/>
        <v>1098.8999999999999</v>
      </c>
      <c r="V149" s="252">
        <f t="shared" si="45"/>
        <v>-161538.29999999955</v>
      </c>
      <c r="W149" s="255">
        <f t="shared" si="56"/>
        <v>-146.99999999999957</v>
      </c>
      <c r="X149" s="256" t="str">
        <f t="shared" si="39"/>
        <v/>
      </c>
      <c r="Y149" s="256" t="str">
        <f t="shared" si="40"/>
        <v/>
      </c>
      <c r="Z149" s="224" t="str">
        <f>IF(IFERROR(INDEX('tuot-rehukirjanpito'!I:I,MATCH(A149,'tuot-rehukirjanpito'!G:G,0)),)=0,"",INDEX('tuot-rehukirjanpito'!I:I,MATCH(A149,'tuot-rehukirjanpito'!G:G,0)))</f>
        <v/>
      </c>
      <c r="AA149" s="224">
        <f>SUMIFS('tuot-INFO'!$K$10:$K$115,'tuot-INFO'!$A$10:$A$115,'tuot-PVÄ'!B149)</f>
        <v>62.4</v>
      </c>
      <c r="AB149" s="224">
        <f>SUMIFS('rehu-vesi-INFO'!$R:$R,'rehu-vesi-INFO'!$A:$A,'tuot-PVÄ'!B149)</f>
        <v>1673</v>
      </c>
      <c r="AC149" s="224">
        <f>SUMIFS('rehu-vesi-INFO'!$S:$S,'rehu-vesi-INFO'!$A:$A,'tuot-PVÄ'!B149)</f>
        <v>1777</v>
      </c>
      <c r="AD149" s="224">
        <f t="shared" si="48"/>
        <v>104</v>
      </c>
      <c r="AE149" s="224">
        <f t="shared" si="49"/>
        <v>0</v>
      </c>
      <c r="AF149" s="224">
        <f t="shared" si="50"/>
        <v>167.3</v>
      </c>
      <c r="AG149" s="224">
        <f t="shared" si="51"/>
        <v>10.4</v>
      </c>
      <c r="AH149" s="257">
        <f t="shared" si="54"/>
        <v>0</v>
      </c>
      <c r="AI149" s="258">
        <f t="shared" si="55"/>
        <v>0</v>
      </c>
      <c r="AJ149" s="55">
        <f>SUMIFS('tuot-INFO'!W:W,'tuot-INFO'!$A:$A,'tuot-PVÄ'!B149)</f>
        <v>89.187000000000012</v>
      </c>
      <c r="AK149" s="55">
        <f>SUMIFS('tuot-INFO'!X:X,'tuot-INFO'!$A:$A,'tuot-PVÄ'!B149)</f>
        <v>9.5899999999999892</v>
      </c>
    </row>
    <row r="150" spans="1:37" x14ac:dyDescent="0.25">
      <c r="A150" s="169">
        <f t="shared" si="52"/>
        <v>42636</v>
      </c>
      <c r="B150" s="23">
        <f>ROUNDUP((A150-Yleistiedot!$B$4)/7,0)</f>
        <v>38</v>
      </c>
      <c r="C150" s="16"/>
      <c r="D150" s="25"/>
      <c r="E150" s="25"/>
      <c r="F150" s="25"/>
      <c r="G150" s="25"/>
      <c r="H150" s="25"/>
      <c r="I150" s="65">
        <f t="shared" si="47"/>
        <v>0</v>
      </c>
      <c r="J150" s="26"/>
      <c r="K150" s="25"/>
      <c r="L150" s="16"/>
      <c r="M150" s="16"/>
      <c r="N150" s="25"/>
      <c r="O150" s="30"/>
      <c r="P150" s="252">
        <f t="shared" si="42"/>
        <v>9990</v>
      </c>
      <c r="Q150" s="253">
        <f t="shared" si="43"/>
        <v>0</v>
      </c>
      <c r="R150" s="253">
        <f t="shared" si="44"/>
        <v>0</v>
      </c>
      <c r="S150" s="251">
        <f>SUMIFS('tuot-rehukirjanpito'!D:D,'tuot-rehukirjanpito'!A:A,A150)</f>
        <v>0</v>
      </c>
      <c r="T150" s="254">
        <f t="shared" si="53"/>
        <v>1098.9000000000001</v>
      </c>
      <c r="U150" s="254">
        <f t="shared" si="41"/>
        <v>1098.8999999999999</v>
      </c>
      <c r="V150" s="252">
        <f t="shared" si="45"/>
        <v>-162637.19999999955</v>
      </c>
      <c r="W150" s="255">
        <f t="shared" si="56"/>
        <v>-147.99999999999957</v>
      </c>
      <c r="X150" s="256" t="str">
        <f t="shared" si="39"/>
        <v/>
      </c>
      <c r="Y150" s="256" t="str">
        <f t="shared" si="40"/>
        <v/>
      </c>
      <c r="Z150" s="224" t="str">
        <f>IF(IFERROR(INDEX('tuot-rehukirjanpito'!I:I,MATCH(A150,'tuot-rehukirjanpito'!G:G,0)),)=0,"",INDEX('tuot-rehukirjanpito'!I:I,MATCH(A150,'tuot-rehukirjanpito'!G:G,0)))</f>
        <v/>
      </c>
      <c r="AA150" s="224">
        <f>SUMIFS('tuot-INFO'!$K$10:$K$115,'tuot-INFO'!$A$10:$A$115,'tuot-PVÄ'!B150)</f>
        <v>62.4</v>
      </c>
      <c r="AB150" s="224">
        <f>SUMIFS('rehu-vesi-INFO'!$R:$R,'rehu-vesi-INFO'!$A:$A,'tuot-PVÄ'!B150)</f>
        <v>1673</v>
      </c>
      <c r="AC150" s="224">
        <f>SUMIFS('rehu-vesi-INFO'!$S:$S,'rehu-vesi-INFO'!$A:$A,'tuot-PVÄ'!B150)</f>
        <v>1777</v>
      </c>
      <c r="AD150" s="224">
        <f t="shared" si="48"/>
        <v>104</v>
      </c>
      <c r="AE150" s="224">
        <f t="shared" si="49"/>
        <v>0</v>
      </c>
      <c r="AF150" s="224">
        <f t="shared" si="50"/>
        <v>167.3</v>
      </c>
      <c r="AG150" s="224">
        <f t="shared" si="51"/>
        <v>10.4</v>
      </c>
      <c r="AH150" s="257">
        <f t="shared" si="54"/>
        <v>0</v>
      </c>
      <c r="AI150" s="258">
        <f t="shared" si="55"/>
        <v>0</v>
      </c>
      <c r="AJ150" s="55">
        <f>SUMIFS('tuot-INFO'!W:W,'tuot-INFO'!$A:$A,'tuot-PVÄ'!B150)</f>
        <v>89.187000000000012</v>
      </c>
      <c r="AK150" s="55">
        <f>SUMIFS('tuot-INFO'!X:X,'tuot-INFO'!$A:$A,'tuot-PVÄ'!B150)</f>
        <v>9.5899999999999892</v>
      </c>
    </row>
    <row r="151" spans="1:37" x14ac:dyDescent="0.25">
      <c r="A151" s="169">
        <f t="shared" si="52"/>
        <v>42637</v>
      </c>
      <c r="B151" s="23">
        <f>ROUNDUP((A151-Yleistiedot!$B$4)/7,0)</f>
        <v>39</v>
      </c>
      <c r="C151" s="16"/>
      <c r="D151" s="25"/>
      <c r="E151" s="25"/>
      <c r="F151" s="25"/>
      <c r="G151" s="25"/>
      <c r="H151" s="25"/>
      <c r="I151" s="65">
        <f t="shared" si="47"/>
        <v>0</v>
      </c>
      <c r="J151" s="26"/>
      <c r="K151" s="25"/>
      <c r="L151" s="16"/>
      <c r="M151" s="16"/>
      <c r="N151" s="25"/>
      <c r="O151" s="30"/>
      <c r="P151" s="252">
        <f t="shared" si="42"/>
        <v>9990</v>
      </c>
      <c r="Q151" s="253">
        <f t="shared" si="43"/>
        <v>0</v>
      </c>
      <c r="R151" s="253">
        <f t="shared" si="44"/>
        <v>0</v>
      </c>
      <c r="S151" s="251">
        <f>SUMIFS('tuot-rehukirjanpito'!D:D,'tuot-rehukirjanpito'!A:A,A151)</f>
        <v>0</v>
      </c>
      <c r="T151" s="254">
        <f t="shared" si="53"/>
        <v>1098.9000000000001</v>
      </c>
      <c r="U151" s="254">
        <f t="shared" si="41"/>
        <v>1098.8999999999999</v>
      </c>
      <c r="V151" s="252">
        <f t="shared" si="45"/>
        <v>-163736.09999999954</v>
      </c>
      <c r="W151" s="255">
        <f t="shared" si="56"/>
        <v>-148.99999999999957</v>
      </c>
      <c r="X151" s="256" t="str">
        <f t="shared" ref="X151:X214" si="57">IF(S151&lt;&gt;0,ROUND(A151+W150,0),"")</f>
        <v/>
      </c>
      <c r="Y151" s="256" t="str">
        <f t="shared" ref="Y151:Y214" si="58">IF(S151&lt;&gt;0,ROUND(A151+W151,0),"")</f>
        <v/>
      </c>
      <c r="Z151" s="224" t="str">
        <f>IF(IFERROR(INDEX('tuot-rehukirjanpito'!I:I,MATCH(A151,'tuot-rehukirjanpito'!G:G,0)),)=0,"",INDEX('tuot-rehukirjanpito'!I:I,MATCH(A151,'tuot-rehukirjanpito'!G:G,0)))</f>
        <v/>
      </c>
      <c r="AA151" s="224">
        <f>SUMIFS('tuot-INFO'!$K$10:$K$115,'tuot-INFO'!$A$10:$A$115,'tuot-PVÄ'!B151)</f>
        <v>62.6</v>
      </c>
      <c r="AB151" s="224">
        <f>SUMIFS('rehu-vesi-INFO'!$R:$R,'rehu-vesi-INFO'!$A:$A,'tuot-PVÄ'!B151)</f>
        <v>1676</v>
      </c>
      <c r="AC151" s="224">
        <f>SUMIFS('rehu-vesi-INFO'!$S:$S,'rehu-vesi-INFO'!$A:$A,'tuot-PVÄ'!B151)</f>
        <v>1779</v>
      </c>
      <c r="AD151" s="224">
        <f t="shared" si="48"/>
        <v>103</v>
      </c>
      <c r="AE151" s="224">
        <f t="shared" si="49"/>
        <v>0</v>
      </c>
      <c r="AF151" s="224">
        <f t="shared" si="50"/>
        <v>167.6</v>
      </c>
      <c r="AG151" s="224">
        <f t="shared" si="51"/>
        <v>10.3</v>
      </c>
      <c r="AH151" s="257">
        <f t="shared" si="54"/>
        <v>0</v>
      </c>
      <c r="AI151" s="258">
        <f t="shared" si="55"/>
        <v>0</v>
      </c>
      <c r="AJ151" s="55">
        <f>SUMIFS('tuot-INFO'!W:W,'tuot-INFO'!$A:$A,'tuot-PVÄ'!B151)</f>
        <v>89.093999999999994</v>
      </c>
      <c r="AK151" s="55">
        <f>SUMIFS('tuot-INFO'!X:X,'tuot-INFO'!$A:$A,'tuot-PVÄ'!B151)</f>
        <v>9.5799999999999983</v>
      </c>
    </row>
    <row r="152" spans="1:37" x14ac:dyDescent="0.25">
      <c r="A152" s="169">
        <f t="shared" si="52"/>
        <v>42638</v>
      </c>
      <c r="B152" s="23">
        <f>ROUNDUP((A152-Yleistiedot!$B$4)/7,0)</f>
        <v>39</v>
      </c>
      <c r="C152" s="16"/>
      <c r="D152" s="25"/>
      <c r="E152" s="25"/>
      <c r="F152" s="25"/>
      <c r="G152" s="25"/>
      <c r="H152" s="25"/>
      <c r="I152" s="65">
        <f t="shared" si="47"/>
        <v>0</v>
      </c>
      <c r="J152" s="26"/>
      <c r="K152" s="25"/>
      <c r="L152" s="16"/>
      <c r="M152" s="16"/>
      <c r="N152" s="25"/>
      <c r="O152" s="30"/>
      <c r="P152" s="252">
        <f t="shared" si="42"/>
        <v>9990</v>
      </c>
      <c r="Q152" s="253">
        <f t="shared" si="43"/>
        <v>0</v>
      </c>
      <c r="R152" s="253">
        <f t="shared" si="44"/>
        <v>0</v>
      </c>
      <c r="S152" s="251">
        <f>SUMIFS('tuot-rehukirjanpito'!D:D,'tuot-rehukirjanpito'!A:A,A152)</f>
        <v>0</v>
      </c>
      <c r="T152" s="254">
        <f t="shared" si="53"/>
        <v>1098.9000000000001</v>
      </c>
      <c r="U152" s="254">
        <f t="shared" si="41"/>
        <v>1098.8999999999999</v>
      </c>
      <c r="V152" s="252">
        <f t="shared" si="45"/>
        <v>-164834.99999999953</v>
      </c>
      <c r="W152" s="255">
        <f t="shared" si="56"/>
        <v>-149.99999999999957</v>
      </c>
      <c r="X152" s="256" t="str">
        <f t="shared" si="57"/>
        <v/>
      </c>
      <c r="Y152" s="256" t="str">
        <f t="shared" si="58"/>
        <v/>
      </c>
      <c r="Z152" s="224" t="str">
        <f>IF(IFERROR(INDEX('tuot-rehukirjanpito'!I:I,MATCH(A152,'tuot-rehukirjanpito'!G:G,0)),)=0,"",INDEX('tuot-rehukirjanpito'!I:I,MATCH(A152,'tuot-rehukirjanpito'!G:G,0)))</f>
        <v/>
      </c>
      <c r="AA152" s="224">
        <f>SUMIFS('tuot-INFO'!$K$10:$K$115,'tuot-INFO'!$A$10:$A$115,'tuot-PVÄ'!B152)</f>
        <v>62.6</v>
      </c>
      <c r="AB152" s="224">
        <f>SUMIFS('rehu-vesi-INFO'!$R:$R,'rehu-vesi-INFO'!$A:$A,'tuot-PVÄ'!B152)</f>
        <v>1676</v>
      </c>
      <c r="AC152" s="224">
        <f>SUMIFS('rehu-vesi-INFO'!$S:$S,'rehu-vesi-INFO'!$A:$A,'tuot-PVÄ'!B152)</f>
        <v>1779</v>
      </c>
      <c r="AD152" s="224">
        <f t="shared" si="48"/>
        <v>103</v>
      </c>
      <c r="AE152" s="224">
        <f t="shared" si="49"/>
        <v>0</v>
      </c>
      <c r="AF152" s="224">
        <f t="shared" si="50"/>
        <v>167.6</v>
      </c>
      <c r="AG152" s="224">
        <f t="shared" si="51"/>
        <v>10.3</v>
      </c>
      <c r="AH152" s="257">
        <f t="shared" si="54"/>
        <v>0</v>
      </c>
      <c r="AI152" s="258">
        <f t="shared" si="55"/>
        <v>0</v>
      </c>
      <c r="AJ152" s="55">
        <f>SUMIFS('tuot-INFO'!W:W,'tuot-INFO'!$A:$A,'tuot-PVÄ'!B152)</f>
        <v>89.093999999999994</v>
      </c>
      <c r="AK152" s="55">
        <f>SUMIFS('tuot-INFO'!X:X,'tuot-INFO'!$A:$A,'tuot-PVÄ'!B152)</f>
        <v>9.5799999999999983</v>
      </c>
    </row>
    <row r="153" spans="1:37" x14ac:dyDescent="0.25">
      <c r="A153" s="169">
        <f t="shared" si="52"/>
        <v>42639</v>
      </c>
      <c r="B153" s="23">
        <f>ROUNDUP((A153-Yleistiedot!$B$4)/7,0)</f>
        <v>39</v>
      </c>
      <c r="C153" s="16"/>
      <c r="D153" s="25"/>
      <c r="E153" s="25"/>
      <c r="F153" s="25"/>
      <c r="G153" s="25"/>
      <c r="H153" s="25"/>
      <c r="I153" s="65">
        <f t="shared" si="47"/>
        <v>0</v>
      </c>
      <c r="J153" s="26"/>
      <c r="K153" s="25"/>
      <c r="L153" s="16"/>
      <c r="M153" s="16"/>
      <c r="N153" s="25"/>
      <c r="O153" s="30"/>
      <c r="P153" s="252">
        <f t="shared" si="42"/>
        <v>9990</v>
      </c>
      <c r="Q153" s="253">
        <f t="shared" si="43"/>
        <v>0</v>
      </c>
      <c r="R153" s="253">
        <f t="shared" si="44"/>
        <v>0</v>
      </c>
      <c r="S153" s="251">
        <f>SUMIFS('tuot-rehukirjanpito'!D:D,'tuot-rehukirjanpito'!A:A,A153)</f>
        <v>0</v>
      </c>
      <c r="T153" s="254">
        <f t="shared" si="53"/>
        <v>1098.9000000000001</v>
      </c>
      <c r="U153" s="254">
        <f t="shared" ref="U153:U199" si="59">IFERROR(AVERAGEIF(T147:T153,"&lt;&gt;0"),0)</f>
        <v>1098.8999999999999</v>
      </c>
      <c r="V153" s="252">
        <f t="shared" si="45"/>
        <v>-165933.89999999953</v>
      </c>
      <c r="W153" s="255">
        <f t="shared" si="56"/>
        <v>-150.99999999999955</v>
      </c>
      <c r="X153" s="256" t="str">
        <f t="shared" si="57"/>
        <v/>
      </c>
      <c r="Y153" s="256" t="str">
        <f t="shared" si="58"/>
        <v/>
      </c>
      <c r="Z153" s="224" t="str">
        <f>IF(IFERROR(INDEX('tuot-rehukirjanpito'!I:I,MATCH(A153,'tuot-rehukirjanpito'!G:G,0)),)=0,"",INDEX('tuot-rehukirjanpito'!I:I,MATCH(A153,'tuot-rehukirjanpito'!G:G,0)))</f>
        <v/>
      </c>
      <c r="AA153" s="224">
        <f>SUMIFS('tuot-INFO'!$K$10:$K$115,'tuot-INFO'!$A$10:$A$115,'tuot-PVÄ'!B153)</f>
        <v>62.6</v>
      </c>
      <c r="AB153" s="224">
        <f>SUMIFS('rehu-vesi-INFO'!$R:$R,'rehu-vesi-INFO'!$A:$A,'tuot-PVÄ'!B153)</f>
        <v>1676</v>
      </c>
      <c r="AC153" s="224">
        <f>SUMIFS('rehu-vesi-INFO'!$S:$S,'rehu-vesi-INFO'!$A:$A,'tuot-PVÄ'!B153)</f>
        <v>1779</v>
      </c>
      <c r="AD153" s="224">
        <f t="shared" si="48"/>
        <v>103</v>
      </c>
      <c r="AE153" s="224">
        <f t="shared" si="49"/>
        <v>0</v>
      </c>
      <c r="AF153" s="224">
        <f t="shared" si="50"/>
        <v>167.6</v>
      </c>
      <c r="AG153" s="224">
        <f t="shared" si="51"/>
        <v>10.3</v>
      </c>
      <c r="AH153" s="257">
        <f t="shared" si="54"/>
        <v>0</v>
      </c>
      <c r="AI153" s="258">
        <f t="shared" si="55"/>
        <v>0</v>
      </c>
      <c r="AJ153" s="55">
        <f>SUMIFS('tuot-INFO'!W:W,'tuot-INFO'!$A:$A,'tuot-PVÄ'!B153)</f>
        <v>89.093999999999994</v>
      </c>
      <c r="AK153" s="55">
        <f>SUMIFS('tuot-INFO'!X:X,'tuot-INFO'!$A:$A,'tuot-PVÄ'!B153)</f>
        <v>9.5799999999999983</v>
      </c>
    </row>
    <row r="154" spans="1:37" x14ac:dyDescent="0.25">
      <c r="A154" s="169">
        <f t="shared" si="52"/>
        <v>42640</v>
      </c>
      <c r="B154" s="23">
        <f>ROUNDUP((A154-Yleistiedot!$B$4)/7,0)</f>
        <v>39</v>
      </c>
      <c r="C154" s="16"/>
      <c r="D154" s="25"/>
      <c r="E154" s="25"/>
      <c r="F154" s="25"/>
      <c r="G154" s="25"/>
      <c r="H154" s="25"/>
      <c r="I154" s="65">
        <f t="shared" si="47"/>
        <v>0</v>
      </c>
      <c r="J154" s="26"/>
      <c r="K154" s="25"/>
      <c r="L154" s="16"/>
      <c r="M154" s="16"/>
      <c r="N154" s="25"/>
      <c r="O154" s="30"/>
      <c r="P154" s="252">
        <f t="shared" si="42"/>
        <v>9990</v>
      </c>
      <c r="Q154" s="253">
        <f t="shared" si="43"/>
        <v>0</v>
      </c>
      <c r="R154" s="253">
        <f t="shared" si="44"/>
        <v>0</v>
      </c>
      <c r="S154" s="251">
        <f>SUMIFS('tuot-rehukirjanpito'!D:D,'tuot-rehukirjanpito'!A:A,A154)</f>
        <v>0</v>
      </c>
      <c r="T154" s="254">
        <f t="shared" si="53"/>
        <v>1098.9000000000001</v>
      </c>
      <c r="U154" s="254">
        <f t="shared" si="59"/>
        <v>1098.8999999999999</v>
      </c>
      <c r="V154" s="252">
        <f t="shared" si="45"/>
        <v>-167032.79999999952</v>
      </c>
      <c r="W154" s="255">
        <f t="shared" si="56"/>
        <v>-151.99999999999955</v>
      </c>
      <c r="X154" s="256" t="str">
        <f t="shared" si="57"/>
        <v/>
      </c>
      <c r="Y154" s="256" t="str">
        <f t="shared" si="58"/>
        <v/>
      </c>
      <c r="Z154" s="224" t="str">
        <f>IF(IFERROR(INDEX('tuot-rehukirjanpito'!I:I,MATCH(A154,'tuot-rehukirjanpito'!G:G,0)),)=0,"",INDEX('tuot-rehukirjanpito'!I:I,MATCH(A154,'tuot-rehukirjanpito'!G:G,0)))</f>
        <v/>
      </c>
      <c r="AA154" s="224">
        <f>SUMIFS('tuot-INFO'!$K$10:$K$115,'tuot-INFO'!$A$10:$A$115,'tuot-PVÄ'!B154)</f>
        <v>62.6</v>
      </c>
      <c r="AB154" s="224">
        <f>SUMIFS('rehu-vesi-INFO'!$R:$R,'rehu-vesi-INFO'!$A:$A,'tuot-PVÄ'!B154)</f>
        <v>1676</v>
      </c>
      <c r="AC154" s="224">
        <f>SUMIFS('rehu-vesi-INFO'!$S:$S,'rehu-vesi-INFO'!$A:$A,'tuot-PVÄ'!B154)</f>
        <v>1779</v>
      </c>
      <c r="AD154" s="224">
        <f t="shared" si="48"/>
        <v>103</v>
      </c>
      <c r="AE154" s="224">
        <f t="shared" si="49"/>
        <v>0</v>
      </c>
      <c r="AF154" s="224">
        <f t="shared" si="50"/>
        <v>167.6</v>
      </c>
      <c r="AG154" s="224">
        <f t="shared" si="51"/>
        <v>10.3</v>
      </c>
      <c r="AH154" s="257">
        <f t="shared" si="54"/>
        <v>0</v>
      </c>
      <c r="AI154" s="258">
        <f t="shared" si="55"/>
        <v>0</v>
      </c>
      <c r="AJ154" s="55">
        <f>SUMIFS('tuot-INFO'!W:W,'tuot-INFO'!$A:$A,'tuot-PVÄ'!B154)</f>
        <v>89.093999999999994</v>
      </c>
      <c r="AK154" s="55">
        <f>SUMIFS('tuot-INFO'!X:X,'tuot-INFO'!$A:$A,'tuot-PVÄ'!B154)</f>
        <v>9.5799999999999983</v>
      </c>
    </row>
    <row r="155" spans="1:37" x14ac:dyDescent="0.25">
      <c r="A155" s="169">
        <f t="shared" si="52"/>
        <v>42641</v>
      </c>
      <c r="B155" s="23">
        <f>ROUNDUP((A155-Yleistiedot!$B$4)/7,0)</f>
        <v>39</v>
      </c>
      <c r="C155" s="16"/>
      <c r="D155" s="25"/>
      <c r="E155" s="25"/>
      <c r="F155" s="25"/>
      <c r="G155" s="25"/>
      <c r="H155" s="25"/>
      <c r="I155" s="65">
        <f t="shared" si="47"/>
        <v>0</v>
      </c>
      <c r="J155" s="26"/>
      <c r="K155" s="25"/>
      <c r="L155" s="16"/>
      <c r="M155" s="16"/>
      <c r="N155" s="25"/>
      <c r="O155" s="30"/>
      <c r="P155" s="252">
        <f t="shared" si="42"/>
        <v>9990</v>
      </c>
      <c r="Q155" s="253">
        <f t="shared" si="43"/>
        <v>0</v>
      </c>
      <c r="R155" s="253">
        <f t="shared" si="44"/>
        <v>0</v>
      </c>
      <c r="S155" s="251">
        <f>SUMIFS('tuot-rehukirjanpito'!D:D,'tuot-rehukirjanpito'!A:A,A155)</f>
        <v>0</v>
      </c>
      <c r="T155" s="254">
        <f t="shared" si="53"/>
        <v>1098.9000000000001</v>
      </c>
      <c r="U155" s="254">
        <f t="shared" si="59"/>
        <v>1098.8999999999999</v>
      </c>
      <c r="V155" s="252">
        <f t="shared" si="45"/>
        <v>-168131.69999999952</v>
      </c>
      <c r="W155" s="255">
        <f t="shared" si="56"/>
        <v>-152.99999999999955</v>
      </c>
      <c r="X155" s="256" t="str">
        <f t="shared" si="57"/>
        <v/>
      </c>
      <c r="Y155" s="256" t="str">
        <f t="shared" si="58"/>
        <v/>
      </c>
      <c r="Z155" s="224" t="str">
        <f>IF(IFERROR(INDEX('tuot-rehukirjanpito'!I:I,MATCH(A155,'tuot-rehukirjanpito'!G:G,0)),)=0,"",INDEX('tuot-rehukirjanpito'!I:I,MATCH(A155,'tuot-rehukirjanpito'!G:G,0)))</f>
        <v/>
      </c>
      <c r="AA155" s="224">
        <f>SUMIFS('tuot-INFO'!$K$10:$K$115,'tuot-INFO'!$A$10:$A$115,'tuot-PVÄ'!B155)</f>
        <v>62.6</v>
      </c>
      <c r="AB155" s="224">
        <f>SUMIFS('rehu-vesi-INFO'!$R:$R,'rehu-vesi-INFO'!$A:$A,'tuot-PVÄ'!B155)</f>
        <v>1676</v>
      </c>
      <c r="AC155" s="224">
        <f>SUMIFS('rehu-vesi-INFO'!$S:$S,'rehu-vesi-INFO'!$A:$A,'tuot-PVÄ'!B155)</f>
        <v>1779</v>
      </c>
      <c r="AD155" s="224">
        <f t="shared" si="48"/>
        <v>103</v>
      </c>
      <c r="AE155" s="224">
        <f t="shared" si="49"/>
        <v>0</v>
      </c>
      <c r="AF155" s="224">
        <f t="shared" si="50"/>
        <v>167.6</v>
      </c>
      <c r="AG155" s="224">
        <f t="shared" si="51"/>
        <v>10.3</v>
      </c>
      <c r="AH155" s="257">
        <f t="shared" si="54"/>
        <v>0</v>
      </c>
      <c r="AI155" s="258">
        <f t="shared" si="55"/>
        <v>0</v>
      </c>
      <c r="AJ155" s="55">
        <f>SUMIFS('tuot-INFO'!W:W,'tuot-INFO'!$A:$A,'tuot-PVÄ'!B155)</f>
        <v>89.093999999999994</v>
      </c>
      <c r="AK155" s="55">
        <f>SUMIFS('tuot-INFO'!X:X,'tuot-INFO'!$A:$A,'tuot-PVÄ'!B155)</f>
        <v>9.5799999999999983</v>
      </c>
    </row>
    <row r="156" spans="1:37" x14ac:dyDescent="0.25">
      <c r="A156" s="169">
        <f t="shared" si="52"/>
        <v>42642</v>
      </c>
      <c r="B156" s="23">
        <f>ROUNDUP((A156-Yleistiedot!$B$4)/7,0)</f>
        <v>39</v>
      </c>
      <c r="C156" s="16"/>
      <c r="D156" s="25"/>
      <c r="E156" s="25"/>
      <c r="F156" s="25"/>
      <c r="G156" s="25"/>
      <c r="H156" s="25"/>
      <c r="I156" s="65">
        <f t="shared" si="47"/>
        <v>0</v>
      </c>
      <c r="J156" s="26"/>
      <c r="K156" s="25"/>
      <c r="L156" s="16"/>
      <c r="M156" s="16"/>
      <c r="N156" s="25"/>
      <c r="O156" s="30"/>
      <c r="P156" s="252">
        <f t="shared" si="42"/>
        <v>9990</v>
      </c>
      <c r="Q156" s="253">
        <f t="shared" si="43"/>
        <v>0</v>
      </c>
      <c r="R156" s="253">
        <f t="shared" si="44"/>
        <v>0</v>
      </c>
      <c r="S156" s="251">
        <f>SUMIFS('tuot-rehukirjanpito'!D:D,'tuot-rehukirjanpito'!A:A,A156)</f>
        <v>0</v>
      </c>
      <c r="T156" s="254">
        <f t="shared" si="53"/>
        <v>1098.9000000000001</v>
      </c>
      <c r="U156" s="254">
        <f t="shared" si="59"/>
        <v>1098.8999999999999</v>
      </c>
      <c r="V156" s="252">
        <f t="shared" si="45"/>
        <v>-169230.59999999951</v>
      </c>
      <c r="W156" s="255">
        <f t="shared" si="56"/>
        <v>-153.99999999999955</v>
      </c>
      <c r="X156" s="256" t="str">
        <f t="shared" si="57"/>
        <v/>
      </c>
      <c r="Y156" s="256" t="str">
        <f t="shared" si="58"/>
        <v/>
      </c>
      <c r="Z156" s="224" t="str">
        <f>IF(IFERROR(INDEX('tuot-rehukirjanpito'!I:I,MATCH(A156,'tuot-rehukirjanpito'!G:G,0)),)=0,"",INDEX('tuot-rehukirjanpito'!I:I,MATCH(A156,'tuot-rehukirjanpito'!G:G,0)))</f>
        <v/>
      </c>
      <c r="AA156" s="224">
        <f>SUMIFS('tuot-INFO'!$K$10:$K$115,'tuot-INFO'!$A$10:$A$115,'tuot-PVÄ'!B156)</f>
        <v>62.6</v>
      </c>
      <c r="AB156" s="224">
        <f>SUMIFS('rehu-vesi-INFO'!$R:$R,'rehu-vesi-INFO'!$A:$A,'tuot-PVÄ'!B156)</f>
        <v>1676</v>
      </c>
      <c r="AC156" s="224">
        <f>SUMIFS('rehu-vesi-INFO'!$S:$S,'rehu-vesi-INFO'!$A:$A,'tuot-PVÄ'!B156)</f>
        <v>1779</v>
      </c>
      <c r="AD156" s="224">
        <f t="shared" si="48"/>
        <v>103</v>
      </c>
      <c r="AE156" s="224">
        <f t="shared" si="49"/>
        <v>0</v>
      </c>
      <c r="AF156" s="224">
        <f t="shared" si="50"/>
        <v>167.6</v>
      </c>
      <c r="AG156" s="224">
        <f t="shared" si="51"/>
        <v>10.3</v>
      </c>
      <c r="AH156" s="257">
        <f t="shared" si="54"/>
        <v>0</v>
      </c>
      <c r="AI156" s="258">
        <f t="shared" si="55"/>
        <v>0</v>
      </c>
      <c r="AJ156" s="55">
        <f>SUMIFS('tuot-INFO'!W:W,'tuot-INFO'!$A:$A,'tuot-PVÄ'!B156)</f>
        <v>89.093999999999994</v>
      </c>
      <c r="AK156" s="55">
        <f>SUMIFS('tuot-INFO'!X:X,'tuot-INFO'!$A:$A,'tuot-PVÄ'!B156)</f>
        <v>9.5799999999999983</v>
      </c>
    </row>
    <row r="157" spans="1:37" x14ac:dyDescent="0.25">
      <c r="A157" s="169">
        <f t="shared" si="52"/>
        <v>42643</v>
      </c>
      <c r="B157" s="23">
        <f>ROUNDUP((A157-Yleistiedot!$B$4)/7,0)</f>
        <v>39</v>
      </c>
      <c r="C157" s="16"/>
      <c r="D157" s="25"/>
      <c r="E157" s="25"/>
      <c r="F157" s="25"/>
      <c r="G157" s="25"/>
      <c r="H157" s="25"/>
      <c r="I157" s="65">
        <f t="shared" si="47"/>
        <v>0</v>
      </c>
      <c r="J157" s="26"/>
      <c r="K157" s="25"/>
      <c r="L157" s="16"/>
      <c r="M157" s="16"/>
      <c r="N157" s="25"/>
      <c r="O157" s="30"/>
      <c r="P157" s="252">
        <f t="shared" si="42"/>
        <v>9990</v>
      </c>
      <c r="Q157" s="253">
        <f t="shared" si="43"/>
        <v>0</v>
      </c>
      <c r="R157" s="253">
        <f t="shared" si="44"/>
        <v>0</v>
      </c>
      <c r="S157" s="251">
        <f>SUMIFS('tuot-rehukirjanpito'!D:D,'tuot-rehukirjanpito'!A:A,A157)</f>
        <v>0</v>
      </c>
      <c r="T157" s="254">
        <f t="shared" si="53"/>
        <v>1098.9000000000001</v>
      </c>
      <c r="U157" s="254">
        <f t="shared" si="59"/>
        <v>1098.8999999999999</v>
      </c>
      <c r="V157" s="252">
        <f t="shared" si="45"/>
        <v>-170329.49999999951</v>
      </c>
      <c r="W157" s="255">
        <f t="shared" si="56"/>
        <v>-154.99999999999955</v>
      </c>
      <c r="X157" s="256" t="str">
        <f t="shared" si="57"/>
        <v/>
      </c>
      <c r="Y157" s="256" t="str">
        <f t="shared" si="58"/>
        <v/>
      </c>
      <c r="Z157" s="224" t="str">
        <f>IF(IFERROR(INDEX('tuot-rehukirjanpito'!I:I,MATCH(A157,'tuot-rehukirjanpito'!G:G,0)),)=0,"",INDEX('tuot-rehukirjanpito'!I:I,MATCH(A157,'tuot-rehukirjanpito'!G:G,0)))</f>
        <v/>
      </c>
      <c r="AA157" s="224">
        <f>SUMIFS('tuot-INFO'!$K$10:$K$115,'tuot-INFO'!$A$10:$A$115,'tuot-PVÄ'!B157)</f>
        <v>62.6</v>
      </c>
      <c r="AB157" s="224">
        <f>SUMIFS('rehu-vesi-INFO'!$R:$R,'rehu-vesi-INFO'!$A:$A,'tuot-PVÄ'!B157)</f>
        <v>1676</v>
      </c>
      <c r="AC157" s="224">
        <f>SUMIFS('rehu-vesi-INFO'!$S:$S,'rehu-vesi-INFO'!$A:$A,'tuot-PVÄ'!B157)</f>
        <v>1779</v>
      </c>
      <c r="AD157" s="224">
        <f t="shared" si="48"/>
        <v>103</v>
      </c>
      <c r="AE157" s="224">
        <f t="shared" si="49"/>
        <v>0</v>
      </c>
      <c r="AF157" s="224">
        <f t="shared" si="50"/>
        <v>167.6</v>
      </c>
      <c r="AG157" s="224">
        <f t="shared" si="51"/>
        <v>10.3</v>
      </c>
      <c r="AH157" s="257">
        <f t="shared" si="54"/>
        <v>0</v>
      </c>
      <c r="AI157" s="258">
        <f t="shared" si="55"/>
        <v>0</v>
      </c>
      <c r="AJ157" s="55">
        <f>SUMIFS('tuot-INFO'!W:W,'tuot-INFO'!$A:$A,'tuot-PVÄ'!B157)</f>
        <v>89.093999999999994</v>
      </c>
      <c r="AK157" s="55">
        <f>SUMIFS('tuot-INFO'!X:X,'tuot-INFO'!$A:$A,'tuot-PVÄ'!B157)</f>
        <v>9.5799999999999983</v>
      </c>
    </row>
    <row r="158" spans="1:37" x14ac:dyDescent="0.25">
      <c r="A158" s="169">
        <f t="shared" si="52"/>
        <v>42644</v>
      </c>
      <c r="B158" s="23">
        <f>ROUNDUP((A158-Yleistiedot!$B$4)/7,0)</f>
        <v>40</v>
      </c>
      <c r="C158" s="16"/>
      <c r="D158" s="25"/>
      <c r="E158" s="25"/>
      <c r="F158" s="25"/>
      <c r="G158" s="25"/>
      <c r="H158" s="25"/>
      <c r="I158" s="65">
        <f t="shared" si="47"/>
        <v>0</v>
      </c>
      <c r="J158" s="26"/>
      <c r="K158" s="25"/>
      <c r="L158" s="16"/>
      <c r="M158" s="16"/>
      <c r="N158" s="25"/>
      <c r="O158" s="30"/>
      <c r="P158" s="252">
        <f t="shared" si="42"/>
        <v>9990</v>
      </c>
      <c r="Q158" s="253">
        <f t="shared" si="43"/>
        <v>0</v>
      </c>
      <c r="R158" s="253">
        <f t="shared" si="44"/>
        <v>0</v>
      </c>
      <c r="S158" s="251">
        <f>SUMIFS('tuot-rehukirjanpito'!D:D,'tuot-rehukirjanpito'!A:A,A158)</f>
        <v>0</v>
      </c>
      <c r="T158" s="254">
        <f t="shared" si="53"/>
        <v>1098.9000000000001</v>
      </c>
      <c r="U158" s="254">
        <f t="shared" si="59"/>
        <v>1098.8999999999999</v>
      </c>
      <c r="V158" s="252">
        <f t="shared" si="45"/>
        <v>-171428.3999999995</v>
      </c>
      <c r="W158" s="255">
        <f t="shared" si="56"/>
        <v>-155.99999999999955</v>
      </c>
      <c r="X158" s="256" t="str">
        <f t="shared" si="57"/>
        <v/>
      </c>
      <c r="Y158" s="256" t="str">
        <f t="shared" si="58"/>
        <v/>
      </c>
      <c r="Z158" s="224" t="str">
        <f>IF(IFERROR(INDEX('tuot-rehukirjanpito'!I:I,MATCH(A158,'tuot-rehukirjanpito'!G:G,0)),)=0,"",INDEX('tuot-rehukirjanpito'!I:I,MATCH(A158,'tuot-rehukirjanpito'!G:G,0)))</f>
        <v/>
      </c>
      <c r="AA158" s="224">
        <f>SUMIFS('tuot-INFO'!$K$10:$K$115,'tuot-INFO'!$A$10:$A$115,'tuot-PVÄ'!B158)</f>
        <v>62.8</v>
      </c>
      <c r="AB158" s="224">
        <f>SUMIFS('rehu-vesi-INFO'!$R:$R,'rehu-vesi-INFO'!$A:$A,'tuot-PVÄ'!B158)</f>
        <v>1678</v>
      </c>
      <c r="AC158" s="224">
        <f>SUMIFS('rehu-vesi-INFO'!$S:$S,'rehu-vesi-INFO'!$A:$A,'tuot-PVÄ'!B158)</f>
        <v>1782</v>
      </c>
      <c r="AD158" s="224">
        <f t="shared" si="48"/>
        <v>104</v>
      </c>
      <c r="AE158" s="224">
        <f t="shared" si="49"/>
        <v>0</v>
      </c>
      <c r="AF158" s="224">
        <f t="shared" si="50"/>
        <v>167.8</v>
      </c>
      <c r="AG158" s="224">
        <f t="shared" si="51"/>
        <v>10.4</v>
      </c>
      <c r="AH158" s="257">
        <f t="shared" si="54"/>
        <v>0</v>
      </c>
      <c r="AI158" s="258">
        <f t="shared" si="55"/>
        <v>0</v>
      </c>
      <c r="AJ158" s="55">
        <f>SUMIFS('tuot-INFO'!W:W,'tuot-INFO'!$A:$A,'tuot-PVÄ'!B158)</f>
        <v>88.907999999999987</v>
      </c>
      <c r="AK158" s="55">
        <f>SUMIFS('tuot-INFO'!X:X,'tuot-INFO'!$A:$A,'tuot-PVÄ'!B158)</f>
        <v>9.5600000000000023</v>
      </c>
    </row>
    <row r="159" spans="1:37" x14ac:dyDescent="0.25">
      <c r="A159" s="169">
        <f t="shared" si="52"/>
        <v>42645</v>
      </c>
      <c r="B159" s="23">
        <f>ROUNDUP((A159-Yleistiedot!$B$4)/7,0)</f>
        <v>40</v>
      </c>
      <c r="C159" s="16"/>
      <c r="D159" s="25"/>
      <c r="E159" s="25"/>
      <c r="F159" s="25"/>
      <c r="G159" s="25"/>
      <c r="H159" s="25"/>
      <c r="I159" s="65">
        <f t="shared" si="47"/>
        <v>0</v>
      </c>
      <c r="J159" s="26"/>
      <c r="K159" s="25"/>
      <c r="L159" s="16"/>
      <c r="M159" s="16"/>
      <c r="N159" s="25"/>
      <c r="O159" s="30"/>
      <c r="P159" s="252">
        <f t="shared" si="42"/>
        <v>9990</v>
      </c>
      <c r="Q159" s="253">
        <f t="shared" si="43"/>
        <v>0</v>
      </c>
      <c r="R159" s="253">
        <f t="shared" si="44"/>
        <v>0</v>
      </c>
      <c r="S159" s="251">
        <f>SUMIFS('tuot-rehukirjanpito'!D:D,'tuot-rehukirjanpito'!A:A,A159)</f>
        <v>0</v>
      </c>
      <c r="T159" s="254">
        <f t="shared" si="53"/>
        <v>1098.9000000000001</v>
      </c>
      <c r="U159" s="254">
        <f t="shared" si="59"/>
        <v>1098.8999999999999</v>
      </c>
      <c r="V159" s="252">
        <f t="shared" si="45"/>
        <v>-172527.29999999949</v>
      </c>
      <c r="W159" s="255">
        <f t="shared" si="56"/>
        <v>-156.99999999999952</v>
      </c>
      <c r="X159" s="256" t="str">
        <f t="shared" si="57"/>
        <v/>
      </c>
      <c r="Y159" s="256" t="str">
        <f t="shared" si="58"/>
        <v/>
      </c>
      <c r="Z159" s="224" t="str">
        <f>IF(IFERROR(INDEX('tuot-rehukirjanpito'!I:I,MATCH(A159,'tuot-rehukirjanpito'!G:G,0)),)=0,"",INDEX('tuot-rehukirjanpito'!I:I,MATCH(A159,'tuot-rehukirjanpito'!G:G,0)))</f>
        <v/>
      </c>
      <c r="AA159" s="224">
        <f>SUMIFS('tuot-INFO'!$K$10:$K$115,'tuot-INFO'!$A$10:$A$115,'tuot-PVÄ'!B159)</f>
        <v>62.8</v>
      </c>
      <c r="AB159" s="224">
        <f>SUMIFS('rehu-vesi-INFO'!$R:$R,'rehu-vesi-INFO'!$A:$A,'tuot-PVÄ'!B159)</f>
        <v>1678</v>
      </c>
      <c r="AC159" s="224">
        <f>SUMIFS('rehu-vesi-INFO'!$S:$S,'rehu-vesi-INFO'!$A:$A,'tuot-PVÄ'!B159)</f>
        <v>1782</v>
      </c>
      <c r="AD159" s="224">
        <f t="shared" si="48"/>
        <v>104</v>
      </c>
      <c r="AE159" s="224">
        <f t="shared" si="49"/>
        <v>0</v>
      </c>
      <c r="AF159" s="224">
        <f t="shared" si="50"/>
        <v>167.8</v>
      </c>
      <c r="AG159" s="224">
        <f t="shared" si="51"/>
        <v>10.4</v>
      </c>
      <c r="AH159" s="257">
        <f t="shared" si="54"/>
        <v>0</v>
      </c>
      <c r="AI159" s="258">
        <f t="shared" si="55"/>
        <v>0</v>
      </c>
      <c r="AJ159" s="55">
        <f>SUMIFS('tuot-INFO'!W:W,'tuot-INFO'!$A:$A,'tuot-PVÄ'!B159)</f>
        <v>88.907999999999987</v>
      </c>
      <c r="AK159" s="55">
        <f>SUMIFS('tuot-INFO'!X:X,'tuot-INFO'!$A:$A,'tuot-PVÄ'!B159)</f>
        <v>9.5600000000000023</v>
      </c>
    </row>
    <row r="160" spans="1:37" x14ac:dyDescent="0.25">
      <c r="A160" s="169">
        <f t="shared" si="52"/>
        <v>42646</v>
      </c>
      <c r="B160" s="23">
        <f>ROUNDUP((A160-Yleistiedot!$B$4)/7,0)</f>
        <v>40</v>
      </c>
      <c r="C160" s="16"/>
      <c r="D160" s="25"/>
      <c r="E160" s="25"/>
      <c r="F160" s="25"/>
      <c r="G160" s="25"/>
      <c r="H160" s="25"/>
      <c r="I160" s="65">
        <f t="shared" si="47"/>
        <v>0</v>
      </c>
      <c r="J160" s="26"/>
      <c r="K160" s="25"/>
      <c r="L160" s="16"/>
      <c r="M160" s="16"/>
      <c r="N160" s="25"/>
      <c r="O160" s="30"/>
      <c r="P160" s="252">
        <f t="shared" si="42"/>
        <v>9990</v>
      </c>
      <c r="Q160" s="253">
        <f t="shared" si="43"/>
        <v>0</v>
      </c>
      <c r="R160" s="253">
        <f t="shared" si="44"/>
        <v>0</v>
      </c>
      <c r="S160" s="251">
        <f>SUMIFS('tuot-rehukirjanpito'!D:D,'tuot-rehukirjanpito'!A:A,A160)</f>
        <v>0</v>
      </c>
      <c r="T160" s="254">
        <f t="shared" si="53"/>
        <v>1098.9000000000001</v>
      </c>
      <c r="U160" s="254">
        <f t="shared" si="59"/>
        <v>1098.8999999999999</v>
      </c>
      <c r="V160" s="252">
        <f t="shared" si="45"/>
        <v>-173626.19999999949</v>
      </c>
      <c r="W160" s="255">
        <f t="shared" si="56"/>
        <v>-157.99999999999952</v>
      </c>
      <c r="X160" s="256" t="str">
        <f t="shared" si="57"/>
        <v/>
      </c>
      <c r="Y160" s="256" t="str">
        <f t="shared" si="58"/>
        <v/>
      </c>
      <c r="Z160" s="224" t="str">
        <f>IF(IFERROR(INDEX('tuot-rehukirjanpito'!I:I,MATCH(A160,'tuot-rehukirjanpito'!G:G,0)),)=0,"",INDEX('tuot-rehukirjanpito'!I:I,MATCH(A160,'tuot-rehukirjanpito'!G:G,0)))</f>
        <v/>
      </c>
      <c r="AA160" s="224">
        <f>SUMIFS('tuot-INFO'!$K$10:$K$115,'tuot-INFO'!$A$10:$A$115,'tuot-PVÄ'!B160)</f>
        <v>62.8</v>
      </c>
      <c r="AB160" s="224">
        <f>SUMIFS('rehu-vesi-INFO'!$R:$R,'rehu-vesi-INFO'!$A:$A,'tuot-PVÄ'!B160)</f>
        <v>1678</v>
      </c>
      <c r="AC160" s="224">
        <f>SUMIFS('rehu-vesi-INFO'!$S:$S,'rehu-vesi-INFO'!$A:$A,'tuot-PVÄ'!B160)</f>
        <v>1782</v>
      </c>
      <c r="AD160" s="224">
        <f t="shared" si="48"/>
        <v>104</v>
      </c>
      <c r="AE160" s="224">
        <f t="shared" si="49"/>
        <v>0</v>
      </c>
      <c r="AF160" s="224">
        <f t="shared" si="50"/>
        <v>167.8</v>
      </c>
      <c r="AG160" s="224">
        <f t="shared" si="51"/>
        <v>10.4</v>
      </c>
      <c r="AH160" s="257">
        <f t="shared" si="54"/>
        <v>0</v>
      </c>
      <c r="AI160" s="258">
        <f t="shared" si="55"/>
        <v>0</v>
      </c>
      <c r="AJ160" s="55">
        <f>SUMIFS('tuot-INFO'!W:W,'tuot-INFO'!$A:$A,'tuot-PVÄ'!B160)</f>
        <v>88.907999999999987</v>
      </c>
      <c r="AK160" s="55">
        <f>SUMIFS('tuot-INFO'!X:X,'tuot-INFO'!$A:$A,'tuot-PVÄ'!B160)</f>
        <v>9.5600000000000023</v>
      </c>
    </row>
    <row r="161" spans="1:37" x14ac:dyDescent="0.25">
      <c r="A161" s="169">
        <f t="shared" si="52"/>
        <v>42647</v>
      </c>
      <c r="B161" s="23">
        <f>ROUNDUP((A161-Yleistiedot!$B$4)/7,0)</f>
        <v>40</v>
      </c>
      <c r="C161" s="16"/>
      <c r="D161" s="25"/>
      <c r="E161" s="25"/>
      <c r="F161" s="25"/>
      <c r="G161" s="25"/>
      <c r="H161" s="25"/>
      <c r="I161" s="65">
        <f t="shared" si="47"/>
        <v>0</v>
      </c>
      <c r="J161" s="26"/>
      <c r="K161" s="25"/>
      <c r="L161" s="16"/>
      <c r="M161" s="16"/>
      <c r="N161" s="25"/>
      <c r="O161" s="30"/>
      <c r="P161" s="252">
        <f t="shared" si="42"/>
        <v>9990</v>
      </c>
      <c r="Q161" s="253">
        <f t="shared" si="43"/>
        <v>0</v>
      </c>
      <c r="R161" s="253">
        <f t="shared" si="44"/>
        <v>0</v>
      </c>
      <c r="S161" s="251">
        <f>SUMIFS('tuot-rehukirjanpito'!D:D,'tuot-rehukirjanpito'!A:A,A161)</f>
        <v>0</v>
      </c>
      <c r="T161" s="254">
        <f t="shared" si="53"/>
        <v>1098.9000000000001</v>
      </c>
      <c r="U161" s="254">
        <f t="shared" si="59"/>
        <v>1098.8999999999999</v>
      </c>
      <c r="V161" s="252">
        <f t="shared" si="45"/>
        <v>-174725.09999999948</v>
      </c>
      <c r="W161" s="255">
        <f t="shared" si="56"/>
        <v>-158.99999999999952</v>
      </c>
      <c r="X161" s="256" t="str">
        <f t="shared" si="57"/>
        <v/>
      </c>
      <c r="Y161" s="256" t="str">
        <f t="shared" si="58"/>
        <v/>
      </c>
      <c r="Z161" s="224" t="str">
        <f>IF(IFERROR(INDEX('tuot-rehukirjanpito'!I:I,MATCH(A161,'tuot-rehukirjanpito'!G:G,0)),)=0,"",INDEX('tuot-rehukirjanpito'!I:I,MATCH(A161,'tuot-rehukirjanpito'!G:G,0)))</f>
        <v/>
      </c>
      <c r="AA161" s="224">
        <f>SUMIFS('tuot-INFO'!$K$10:$K$115,'tuot-INFO'!$A$10:$A$115,'tuot-PVÄ'!B161)</f>
        <v>62.8</v>
      </c>
      <c r="AB161" s="224">
        <f>SUMIFS('rehu-vesi-INFO'!$R:$R,'rehu-vesi-INFO'!$A:$A,'tuot-PVÄ'!B161)</f>
        <v>1678</v>
      </c>
      <c r="AC161" s="224">
        <f>SUMIFS('rehu-vesi-INFO'!$S:$S,'rehu-vesi-INFO'!$A:$A,'tuot-PVÄ'!B161)</f>
        <v>1782</v>
      </c>
      <c r="AD161" s="224">
        <f t="shared" si="48"/>
        <v>104</v>
      </c>
      <c r="AE161" s="224">
        <f t="shared" si="49"/>
        <v>0</v>
      </c>
      <c r="AF161" s="224">
        <f t="shared" si="50"/>
        <v>167.8</v>
      </c>
      <c r="AG161" s="224">
        <f t="shared" si="51"/>
        <v>10.4</v>
      </c>
      <c r="AH161" s="257">
        <f t="shared" si="54"/>
        <v>0</v>
      </c>
      <c r="AI161" s="258">
        <f t="shared" si="55"/>
        <v>0</v>
      </c>
      <c r="AJ161" s="55">
        <f>SUMIFS('tuot-INFO'!W:W,'tuot-INFO'!$A:$A,'tuot-PVÄ'!B161)</f>
        <v>88.907999999999987</v>
      </c>
      <c r="AK161" s="55">
        <f>SUMIFS('tuot-INFO'!X:X,'tuot-INFO'!$A:$A,'tuot-PVÄ'!B161)</f>
        <v>9.5600000000000023</v>
      </c>
    </row>
    <row r="162" spans="1:37" x14ac:dyDescent="0.25">
      <c r="A162" s="169">
        <f t="shared" si="52"/>
        <v>42648</v>
      </c>
      <c r="B162" s="23">
        <f>ROUNDUP((A162-Yleistiedot!$B$4)/7,0)</f>
        <v>40</v>
      </c>
      <c r="C162" s="16"/>
      <c r="D162" s="25"/>
      <c r="E162" s="25"/>
      <c r="F162" s="25"/>
      <c r="G162" s="25"/>
      <c r="H162" s="25"/>
      <c r="I162" s="65">
        <f t="shared" si="47"/>
        <v>0</v>
      </c>
      <c r="J162" s="26"/>
      <c r="K162" s="25"/>
      <c r="L162" s="16"/>
      <c r="M162" s="16"/>
      <c r="N162" s="25"/>
      <c r="O162" s="30"/>
      <c r="P162" s="252">
        <f t="shared" si="42"/>
        <v>9990</v>
      </c>
      <c r="Q162" s="253">
        <f t="shared" si="43"/>
        <v>0</v>
      </c>
      <c r="R162" s="253">
        <f t="shared" si="44"/>
        <v>0</v>
      </c>
      <c r="S162" s="251">
        <f>SUMIFS('tuot-rehukirjanpito'!D:D,'tuot-rehukirjanpito'!A:A,A162)</f>
        <v>0</v>
      </c>
      <c r="T162" s="254">
        <f t="shared" si="53"/>
        <v>1098.9000000000001</v>
      </c>
      <c r="U162" s="254">
        <f t="shared" si="59"/>
        <v>1098.8999999999999</v>
      </c>
      <c r="V162" s="252">
        <f t="shared" si="45"/>
        <v>-175823.99999999948</v>
      </c>
      <c r="W162" s="255">
        <f t="shared" si="56"/>
        <v>-159.99999999999952</v>
      </c>
      <c r="X162" s="256" t="str">
        <f t="shared" si="57"/>
        <v/>
      </c>
      <c r="Y162" s="256" t="str">
        <f t="shared" si="58"/>
        <v/>
      </c>
      <c r="Z162" s="224" t="str">
        <f>IF(IFERROR(INDEX('tuot-rehukirjanpito'!I:I,MATCH(A162,'tuot-rehukirjanpito'!G:G,0)),)=0,"",INDEX('tuot-rehukirjanpito'!I:I,MATCH(A162,'tuot-rehukirjanpito'!G:G,0)))</f>
        <v/>
      </c>
      <c r="AA162" s="224">
        <f>SUMIFS('tuot-INFO'!$K$10:$K$115,'tuot-INFO'!$A$10:$A$115,'tuot-PVÄ'!B162)</f>
        <v>62.8</v>
      </c>
      <c r="AB162" s="224">
        <f>SUMIFS('rehu-vesi-INFO'!$R:$R,'rehu-vesi-INFO'!$A:$A,'tuot-PVÄ'!B162)</f>
        <v>1678</v>
      </c>
      <c r="AC162" s="224">
        <f>SUMIFS('rehu-vesi-INFO'!$S:$S,'rehu-vesi-INFO'!$A:$A,'tuot-PVÄ'!B162)</f>
        <v>1782</v>
      </c>
      <c r="AD162" s="224">
        <f t="shared" si="48"/>
        <v>104</v>
      </c>
      <c r="AE162" s="224">
        <f t="shared" si="49"/>
        <v>0</v>
      </c>
      <c r="AF162" s="224">
        <f t="shared" si="50"/>
        <v>167.8</v>
      </c>
      <c r="AG162" s="224">
        <f t="shared" si="51"/>
        <v>10.4</v>
      </c>
      <c r="AH162" s="257">
        <f t="shared" si="54"/>
        <v>0</v>
      </c>
      <c r="AI162" s="258">
        <f t="shared" si="55"/>
        <v>0</v>
      </c>
      <c r="AJ162" s="55">
        <f>SUMIFS('tuot-INFO'!W:W,'tuot-INFO'!$A:$A,'tuot-PVÄ'!B162)</f>
        <v>88.907999999999987</v>
      </c>
      <c r="AK162" s="55">
        <f>SUMIFS('tuot-INFO'!X:X,'tuot-INFO'!$A:$A,'tuot-PVÄ'!B162)</f>
        <v>9.5600000000000023</v>
      </c>
    </row>
    <row r="163" spans="1:37" x14ac:dyDescent="0.25">
      <c r="A163" s="169">
        <f t="shared" si="52"/>
        <v>42649</v>
      </c>
      <c r="B163" s="23">
        <f>ROUNDUP((A163-Yleistiedot!$B$4)/7,0)</f>
        <v>40</v>
      </c>
      <c r="C163" s="16"/>
      <c r="D163" s="25"/>
      <c r="E163" s="25"/>
      <c r="F163" s="25"/>
      <c r="G163" s="25"/>
      <c r="H163" s="25"/>
      <c r="I163" s="65">
        <f t="shared" si="47"/>
        <v>0</v>
      </c>
      <c r="J163" s="26"/>
      <c r="K163" s="25"/>
      <c r="L163" s="16"/>
      <c r="M163" s="16"/>
      <c r="N163" s="25"/>
      <c r="O163" s="30"/>
      <c r="P163" s="252">
        <f t="shared" si="42"/>
        <v>9990</v>
      </c>
      <c r="Q163" s="253">
        <f t="shared" si="43"/>
        <v>0</v>
      </c>
      <c r="R163" s="253">
        <f t="shared" si="44"/>
        <v>0</v>
      </c>
      <c r="S163" s="251">
        <f>SUMIFS('tuot-rehukirjanpito'!D:D,'tuot-rehukirjanpito'!A:A,A163)</f>
        <v>0</v>
      </c>
      <c r="T163" s="254">
        <f t="shared" si="53"/>
        <v>1098.9000000000001</v>
      </c>
      <c r="U163" s="254">
        <f t="shared" si="59"/>
        <v>1098.8999999999999</v>
      </c>
      <c r="V163" s="252">
        <f t="shared" si="45"/>
        <v>-176922.89999999947</v>
      </c>
      <c r="W163" s="255">
        <f t="shared" si="56"/>
        <v>-160.99999999999952</v>
      </c>
      <c r="X163" s="256" t="str">
        <f t="shared" si="57"/>
        <v/>
      </c>
      <c r="Y163" s="256" t="str">
        <f t="shared" si="58"/>
        <v/>
      </c>
      <c r="Z163" s="224" t="str">
        <f>IF(IFERROR(INDEX('tuot-rehukirjanpito'!I:I,MATCH(A163,'tuot-rehukirjanpito'!G:G,0)),)=0,"",INDEX('tuot-rehukirjanpito'!I:I,MATCH(A163,'tuot-rehukirjanpito'!G:G,0)))</f>
        <v/>
      </c>
      <c r="AA163" s="224">
        <f>SUMIFS('tuot-INFO'!$K$10:$K$115,'tuot-INFO'!$A$10:$A$115,'tuot-PVÄ'!B163)</f>
        <v>62.8</v>
      </c>
      <c r="AB163" s="224">
        <f>SUMIFS('rehu-vesi-INFO'!$R:$R,'rehu-vesi-INFO'!$A:$A,'tuot-PVÄ'!B163)</f>
        <v>1678</v>
      </c>
      <c r="AC163" s="224">
        <f>SUMIFS('rehu-vesi-INFO'!$S:$S,'rehu-vesi-INFO'!$A:$A,'tuot-PVÄ'!B163)</f>
        <v>1782</v>
      </c>
      <c r="AD163" s="224">
        <f t="shared" si="48"/>
        <v>104</v>
      </c>
      <c r="AE163" s="224">
        <f t="shared" si="49"/>
        <v>0</v>
      </c>
      <c r="AF163" s="224">
        <f t="shared" si="50"/>
        <v>167.8</v>
      </c>
      <c r="AG163" s="224">
        <f t="shared" si="51"/>
        <v>10.4</v>
      </c>
      <c r="AH163" s="257">
        <f t="shared" si="54"/>
        <v>0</v>
      </c>
      <c r="AI163" s="258">
        <f t="shared" si="55"/>
        <v>0</v>
      </c>
      <c r="AJ163" s="55">
        <f>SUMIFS('tuot-INFO'!W:W,'tuot-INFO'!$A:$A,'tuot-PVÄ'!B163)</f>
        <v>88.907999999999987</v>
      </c>
      <c r="AK163" s="55">
        <f>SUMIFS('tuot-INFO'!X:X,'tuot-INFO'!$A:$A,'tuot-PVÄ'!B163)</f>
        <v>9.5600000000000023</v>
      </c>
    </row>
    <row r="164" spans="1:37" x14ac:dyDescent="0.25">
      <c r="A164" s="169">
        <f t="shared" si="52"/>
        <v>42650</v>
      </c>
      <c r="B164" s="23">
        <f>ROUNDUP((A164-Yleistiedot!$B$4)/7,0)</f>
        <v>40</v>
      </c>
      <c r="C164" s="16"/>
      <c r="D164" s="25"/>
      <c r="E164" s="25"/>
      <c r="F164" s="25"/>
      <c r="G164" s="25"/>
      <c r="H164" s="25"/>
      <c r="I164" s="65">
        <f t="shared" si="47"/>
        <v>0</v>
      </c>
      <c r="J164" s="26"/>
      <c r="K164" s="25"/>
      <c r="L164" s="16"/>
      <c r="M164" s="16"/>
      <c r="N164" s="25"/>
      <c r="O164" s="30"/>
      <c r="P164" s="252">
        <f t="shared" si="42"/>
        <v>9990</v>
      </c>
      <c r="Q164" s="253">
        <f t="shared" si="43"/>
        <v>0</v>
      </c>
      <c r="R164" s="253">
        <f t="shared" si="44"/>
        <v>0</v>
      </c>
      <c r="S164" s="251">
        <f>SUMIFS('tuot-rehukirjanpito'!D:D,'tuot-rehukirjanpito'!A:A,A164)</f>
        <v>0</v>
      </c>
      <c r="T164" s="254">
        <f t="shared" si="53"/>
        <v>1098.9000000000001</v>
      </c>
      <c r="U164" s="254">
        <f t="shared" si="59"/>
        <v>1098.8999999999999</v>
      </c>
      <c r="V164" s="252">
        <f t="shared" si="45"/>
        <v>-178021.79999999946</v>
      </c>
      <c r="W164" s="255">
        <f t="shared" si="56"/>
        <v>-161.99999999999949</v>
      </c>
      <c r="X164" s="256" t="str">
        <f t="shared" si="57"/>
        <v/>
      </c>
      <c r="Y164" s="256" t="str">
        <f t="shared" si="58"/>
        <v/>
      </c>
      <c r="Z164" s="224" t="str">
        <f>IF(IFERROR(INDEX('tuot-rehukirjanpito'!I:I,MATCH(A164,'tuot-rehukirjanpito'!G:G,0)),)=0,"",INDEX('tuot-rehukirjanpito'!I:I,MATCH(A164,'tuot-rehukirjanpito'!G:G,0)))</f>
        <v/>
      </c>
      <c r="AA164" s="224">
        <f>SUMIFS('tuot-INFO'!$K$10:$K$115,'tuot-INFO'!$A$10:$A$115,'tuot-PVÄ'!B164)</f>
        <v>62.8</v>
      </c>
      <c r="AB164" s="224">
        <f>SUMIFS('rehu-vesi-INFO'!$R:$R,'rehu-vesi-INFO'!$A:$A,'tuot-PVÄ'!B164)</f>
        <v>1678</v>
      </c>
      <c r="AC164" s="224">
        <f>SUMIFS('rehu-vesi-INFO'!$S:$S,'rehu-vesi-INFO'!$A:$A,'tuot-PVÄ'!B164)</f>
        <v>1782</v>
      </c>
      <c r="AD164" s="224">
        <f t="shared" si="48"/>
        <v>104</v>
      </c>
      <c r="AE164" s="224">
        <f t="shared" si="49"/>
        <v>0</v>
      </c>
      <c r="AF164" s="224">
        <f t="shared" si="50"/>
        <v>167.8</v>
      </c>
      <c r="AG164" s="224">
        <f t="shared" si="51"/>
        <v>10.4</v>
      </c>
      <c r="AH164" s="257">
        <f t="shared" si="54"/>
        <v>0</v>
      </c>
      <c r="AI164" s="258">
        <f t="shared" si="55"/>
        <v>0</v>
      </c>
      <c r="AJ164" s="55">
        <f>SUMIFS('tuot-INFO'!W:W,'tuot-INFO'!$A:$A,'tuot-PVÄ'!B164)</f>
        <v>88.907999999999987</v>
      </c>
      <c r="AK164" s="55">
        <f>SUMIFS('tuot-INFO'!X:X,'tuot-INFO'!$A:$A,'tuot-PVÄ'!B164)</f>
        <v>9.5600000000000023</v>
      </c>
    </row>
    <row r="165" spans="1:37" x14ac:dyDescent="0.25">
      <c r="A165" s="169">
        <f t="shared" si="52"/>
        <v>42651</v>
      </c>
      <c r="B165" s="23">
        <f>ROUNDUP((A165-Yleistiedot!$B$4)/7,0)</f>
        <v>41</v>
      </c>
      <c r="C165" s="16"/>
      <c r="D165" s="25"/>
      <c r="E165" s="25"/>
      <c r="F165" s="25"/>
      <c r="G165" s="25"/>
      <c r="H165" s="25"/>
      <c r="I165" s="65">
        <f t="shared" si="47"/>
        <v>0</v>
      </c>
      <c r="J165" s="26"/>
      <c r="K165" s="25"/>
      <c r="L165" s="16"/>
      <c r="M165" s="16"/>
      <c r="N165" s="25"/>
      <c r="O165" s="30"/>
      <c r="P165" s="252">
        <f t="shared" si="42"/>
        <v>9990</v>
      </c>
      <c r="Q165" s="253">
        <f t="shared" si="43"/>
        <v>0</v>
      </c>
      <c r="R165" s="253">
        <f t="shared" si="44"/>
        <v>0</v>
      </c>
      <c r="S165" s="251">
        <f>SUMIFS('tuot-rehukirjanpito'!D:D,'tuot-rehukirjanpito'!A:A,A165)</f>
        <v>0</v>
      </c>
      <c r="T165" s="254">
        <f t="shared" si="53"/>
        <v>1098.9000000000001</v>
      </c>
      <c r="U165" s="254">
        <f t="shared" si="59"/>
        <v>1098.8999999999999</v>
      </c>
      <c r="V165" s="252">
        <f t="shared" si="45"/>
        <v>-179120.69999999946</v>
      </c>
      <c r="W165" s="255">
        <f t="shared" si="56"/>
        <v>-162.99999999999949</v>
      </c>
      <c r="X165" s="256" t="str">
        <f t="shared" si="57"/>
        <v/>
      </c>
      <c r="Y165" s="256" t="str">
        <f t="shared" si="58"/>
        <v/>
      </c>
      <c r="Z165" s="224" t="str">
        <f>IF(IFERROR(INDEX('tuot-rehukirjanpito'!I:I,MATCH(A165,'tuot-rehukirjanpito'!G:G,0)),)=0,"",INDEX('tuot-rehukirjanpito'!I:I,MATCH(A165,'tuot-rehukirjanpito'!G:G,0)))</f>
        <v/>
      </c>
      <c r="AA165" s="224">
        <f>SUMIFS('tuot-INFO'!$K$10:$K$115,'tuot-INFO'!$A$10:$A$115,'tuot-PVÄ'!B165)</f>
        <v>63</v>
      </c>
      <c r="AB165" s="224">
        <f>SUMIFS('rehu-vesi-INFO'!$R:$R,'rehu-vesi-INFO'!$A:$A,'tuot-PVÄ'!B165)</f>
        <v>1681</v>
      </c>
      <c r="AC165" s="224">
        <f>SUMIFS('rehu-vesi-INFO'!$S:$S,'rehu-vesi-INFO'!$A:$A,'tuot-PVÄ'!B165)</f>
        <v>1784</v>
      </c>
      <c r="AD165" s="224">
        <f t="shared" si="48"/>
        <v>103</v>
      </c>
      <c r="AE165" s="224">
        <f t="shared" si="49"/>
        <v>0</v>
      </c>
      <c r="AF165" s="224">
        <f t="shared" si="50"/>
        <v>168.1</v>
      </c>
      <c r="AG165" s="224">
        <f t="shared" si="51"/>
        <v>10.3</v>
      </c>
      <c r="AH165" s="257">
        <f t="shared" si="54"/>
        <v>0</v>
      </c>
      <c r="AI165" s="258">
        <f t="shared" si="55"/>
        <v>0</v>
      </c>
      <c r="AJ165" s="55">
        <f>SUMIFS('tuot-INFO'!W:W,'tuot-INFO'!$A:$A,'tuot-PVÄ'!B165)</f>
        <v>88.814999999999998</v>
      </c>
      <c r="AK165" s="55">
        <f>SUMIFS('tuot-INFO'!X:X,'tuot-INFO'!$A:$A,'tuot-PVÄ'!B165)</f>
        <v>9.5499999999999972</v>
      </c>
    </row>
    <row r="166" spans="1:37" x14ac:dyDescent="0.25">
      <c r="A166" s="169">
        <f t="shared" si="52"/>
        <v>42652</v>
      </c>
      <c r="B166" s="23">
        <f>ROUNDUP((A166-Yleistiedot!$B$4)/7,0)</f>
        <v>41</v>
      </c>
      <c r="C166" s="16"/>
      <c r="D166" s="25"/>
      <c r="E166" s="25"/>
      <c r="F166" s="25"/>
      <c r="G166" s="25"/>
      <c r="H166" s="25"/>
      <c r="I166" s="65">
        <f t="shared" si="47"/>
        <v>0</v>
      </c>
      <c r="J166" s="26"/>
      <c r="K166" s="25"/>
      <c r="L166" s="16"/>
      <c r="M166" s="16"/>
      <c r="N166" s="25"/>
      <c r="O166" s="30"/>
      <c r="P166" s="252">
        <f t="shared" si="42"/>
        <v>9990</v>
      </c>
      <c r="Q166" s="253">
        <f t="shared" si="43"/>
        <v>0</v>
      </c>
      <c r="R166" s="253">
        <f t="shared" si="44"/>
        <v>0</v>
      </c>
      <c r="S166" s="251">
        <f>SUMIFS('tuot-rehukirjanpito'!D:D,'tuot-rehukirjanpito'!A:A,A166)</f>
        <v>0</v>
      </c>
      <c r="T166" s="254">
        <f t="shared" si="53"/>
        <v>1098.9000000000001</v>
      </c>
      <c r="U166" s="254">
        <f t="shared" si="59"/>
        <v>1098.8999999999999</v>
      </c>
      <c r="V166" s="252">
        <f t="shared" si="45"/>
        <v>-180219.59999999945</v>
      </c>
      <c r="W166" s="255">
        <f t="shared" si="56"/>
        <v>-163.99999999999949</v>
      </c>
      <c r="X166" s="256" t="str">
        <f t="shared" si="57"/>
        <v/>
      </c>
      <c r="Y166" s="256" t="str">
        <f t="shared" si="58"/>
        <v/>
      </c>
      <c r="Z166" s="224" t="str">
        <f>IF(IFERROR(INDEX('tuot-rehukirjanpito'!I:I,MATCH(A166,'tuot-rehukirjanpito'!G:G,0)),)=0,"",INDEX('tuot-rehukirjanpito'!I:I,MATCH(A166,'tuot-rehukirjanpito'!G:G,0)))</f>
        <v/>
      </c>
      <c r="AA166" s="224">
        <f>SUMIFS('tuot-INFO'!$K$10:$K$115,'tuot-INFO'!$A$10:$A$115,'tuot-PVÄ'!B166)</f>
        <v>63</v>
      </c>
      <c r="AB166" s="224">
        <f>SUMIFS('rehu-vesi-INFO'!$R:$R,'rehu-vesi-INFO'!$A:$A,'tuot-PVÄ'!B166)</f>
        <v>1681</v>
      </c>
      <c r="AC166" s="224">
        <f>SUMIFS('rehu-vesi-INFO'!$S:$S,'rehu-vesi-INFO'!$A:$A,'tuot-PVÄ'!B166)</f>
        <v>1784</v>
      </c>
      <c r="AD166" s="224">
        <f t="shared" si="48"/>
        <v>103</v>
      </c>
      <c r="AE166" s="224">
        <f t="shared" si="49"/>
        <v>0</v>
      </c>
      <c r="AF166" s="224">
        <f t="shared" si="50"/>
        <v>168.1</v>
      </c>
      <c r="AG166" s="224">
        <f t="shared" si="51"/>
        <v>10.3</v>
      </c>
      <c r="AH166" s="257">
        <f t="shared" si="54"/>
        <v>0</v>
      </c>
      <c r="AI166" s="258">
        <f t="shared" si="55"/>
        <v>0</v>
      </c>
      <c r="AJ166" s="55">
        <f>SUMIFS('tuot-INFO'!W:W,'tuot-INFO'!$A:$A,'tuot-PVÄ'!B166)</f>
        <v>88.814999999999998</v>
      </c>
      <c r="AK166" s="55">
        <f>SUMIFS('tuot-INFO'!X:X,'tuot-INFO'!$A:$A,'tuot-PVÄ'!B166)</f>
        <v>9.5499999999999972</v>
      </c>
    </row>
    <row r="167" spans="1:37" x14ac:dyDescent="0.25">
      <c r="A167" s="169">
        <f t="shared" si="52"/>
        <v>42653</v>
      </c>
      <c r="B167" s="23">
        <f>ROUNDUP((A167-Yleistiedot!$B$4)/7,0)</f>
        <v>41</v>
      </c>
      <c r="C167" s="16"/>
      <c r="D167" s="25"/>
      <c r="E167" s="25"/>
      <c r="F167" s="25"/>
      <c r="G167" s="25"/>
      <c r="H167" s="25"/>
      <c r="I167" s="65">
        <f t="shared" si="47"/>
        <v>0</v>
      </c>
      <c r="J167" s="26"/>
      <c r="K167" s="25"/>
      <c r="L167" s="16"/>
      <c r="M167" s="16"/>
      <c r="N167" s="25"/>
      <c r="O167" s="30"/>
      <c r="P167" s="252">
        <f t="shared" si="42"/>
        <v>9990</v>
      </c>
      <c r="Q167" s="253">
        <f t="shared" si="43"/>
        <v>0</v>
      </c>
      <c r="R167" s="253">
        <f t="shared" si="44"/>
        <v>0</v>
      </c>
      <c r="S167" s="251">
        <f>SUMIFS('tuot-rehukirjanpito'!D:D,'tuot-rehukirjanpito'!A:A,A167)</f>
        <v>0</v>
      </c>
      <c r="T167" s="254">
        <f t="shared" si="53"/>
        <v>1098.9000000000001</v>
      </c>
      <c r="U167" s="254">
        <f t="shared" si="59"/>
        <v>1098.8999999999999</v>
      </c>
      <c r="V167" s="252">
        <f t="shared" si="45"/>
        <v>-181318.49999999945</v>
      </c>
      <c r="W167" s="255">
        <f t="shared" si="56"/>
        <v>-164.99999999999949</v>
      </c>
      <c r="X167" s="256" t="str">
        <f t="shared" si="57"/>
        <v/>
      </c>
      <c r="Y167" s="256" t="str">
        <f t="shared" si="58"/>
        <v/>
      </c>
      <c r="Z167" s="224" t="str">
        <f>IF(IFERROR(INDEX('tuot-rehukirjanpito'!I:I,MATCH(A167,'tuot-rehukirjanpito'!G:G,0)),)=0,"",INDEX('tuot-rehukirjanpito'!I:I,MATCH(A167,'tuot-rehukirjanpito'!G:G,0)))</f>
        <v/>
      </c>
      <c r="AA167" s="224">
        <f>SUMIFS('tuot-INFO'!$K$10:$K$115,'tuot-INFO'!$A$10:$A$115,'tuot-PVÄ'!B167)</f>
        <v>63</v>
      </c>
      <c r="AB167" s="224">
        <f>SUMIFS('rehu-vesi-INFO'!$R:$R,'rehu-vesi-INFO'!$A:$A,'tuot-PVÄ'!B167)</f>
        <v>1681</v>
      </c>
      <c r="AC167" s="224">
        <f>SUMIFS('rehu-vesi-INFO'!$S:$S,'rehu-vesi-INFO'!$A:$A,'tuot-PVÄ'!B167)</f>
        <v>1784</v>
      </c>
      <c r="AD167" s="224">
        <f t="shared" si="48"/>
        <v>103</v>
      </c>
      <c r="AE167" s="224">
        <f t="shared" si="49"/>
        <v>0</v>
      </c>
      <c r="AF167" s="224">
        <f t="shared" si="50"/>
        <v>168.1</v>
      </c>
      <c r="AG167" s="224">
        <f t="shared" si="51"/>
        <v>10.3</v>
      </c>
      <c r="AH167" s="257">
        <f t="shared" si="54"/>
        <v>0</v>
      </c>
      <c r="AI167" s="258">
        <f t="shared" si="55"/>
        <v>0</v>
      </c>
      <c r="AJ167" s="55">
        <f>SUMIFS('tuot-INFO'!W:W,'tuot-INFO'!$A:$A,'tuot-PVÄ'!B167)</f>
        <v>88.814999999999998</v>
      </c>
      <c r="AK167" s="55">
        <f>SUMIFS('tuot-INFO'!X:X,'tuot-INFO'!$A:$A,'tuot-PVÄ'!B167)</f>
        <v>9.5499999999999972</v>
      </c>
    </row>
    <row r="168" spans="1:37" x14ac:dyDescent="0.25">
      <c r="A168" s="169">
        <f t="shared" si="52"/>
        <v>42654</v>
      </c>
      <c r="B168" s="23">
        <f>ROUNDUP((A168-Yleistiedot!$B$4)/7,0)</f>
        <v>41</v>
      </c>
      <c r="C168" s="16"/>
      <c r="D168" s="25"/>
      <c r="E168" s="25"/>
      <c r="F168" s="25"/>
      <c r="G168" s="25"/>
      <c r="H168" s="25"/>
      <c r="I168" s="65">
        <f t="shared" si="47"/>
        <v>0</v>
      </c>
      <c r="J168" s="26"/>
      <c r="K168" s="25"/>
      <c r="L168" s="16"/>
      <c r="M168" s="16"/>
      <c r="N168" s="25"/>
      <c r="O168" s="30"/>
      <c r="P168" s="252">
        <f t="shared" si="42"/>
        <v>9990</v>
      </c>
      <c r="Q168" s="253">
        <f t="shared" si="43"/>
        <v>0</v>
      </c>
      <c r="R168" s="253">
        <f t="shared" si="44"/>
        <v>0</v>
      </c>
      <c r="S168" s="251">
        <f>SUMIFS('tuot-rehukirjanpito'!D:D,'tuot-rehukirjanpito'!A:A,A168)</f>
        <v>0</v>
      </c>
      <c r="T168" s="254">
        <f t="shared" si="53"/>
        <v>1098.9000000000001</v>
      </c>
      <c r="U168" s="254">
        <f t="shared" si="59"/>
        <v>1098.8999999999999</v>
      </c>
      <c r="V168" s="252">
        <f t="shared" si="45"/>
        <v>-182417.39999999944</v>
      </c>
      <c r="W168" s="255">
        <f t="shared" si="56"/>
        <v>-165.99999999999949</v>
      </c>
      <c r="X168" s="256" t="str">
        <f t="shared" si="57"/>
        <v/>
      </c>
      <c r="Y168" s="256" t="str">
        <f t="shared" si="58"/>
        <v/>
      </c>
      <c r="Z168" s="224" t="str">
        <f>IF(IFERROR(INDEX('tuot-rehukirjanpito'!I:I,MATCH(A168,'tuot-rehukirjanpito'!G:G,0)),)=0,"",INDEX('tuot-rehukirjanpito'!I:I,MATCH(A168,'tuot-rehukirjanpito'!G:G,0)))</f>
        <v/>
      </c>
      <c r="AA168" s="224">
        <f>SUMIFS('tuot-INFO'!$K$10:$K$115,'tuot-INFO'!$A$10:$A$115,'tuot-PVÄ'!B168)</f>
        <v>63</v>
      </c>
      <c r="AB168" s="224">
        <f>SUMIFS('rehu-vesi-INFO'!$R:$R,'rehu-vesi-INFO'!$A:$A,'tuot-PVÄ'!B168)</f>
        <v>1681</v>
      </c>
      <c r="AC168" s="224">
        <f>SUMIFS('rehu-vesi-INFO'!$S:$S,'rehu-vesi-INFO'!$A:$A,'tuot-PVÄ'!B168)</f>
        <v>1784</v>
      </c>
      <c r="AD168" s="224">
        <f t="shared" si="48"/>
        <v>103</v>
      </c>
      <c r="AE168" s="224">
        <f t="shared" si="49"/>
        <v>0</v>
      </c>
      <c r="AF168" s="224">
        <f t="shared" si="50"/>
        <v>168.1</v>
      </c>
      <c r="AG168" s="224">
        <f t="shared" si="51"/>
        <v>10.3</v>
      </c>
      <c r="AH168" s="257">
        <f t="shared" si="54"/>
        <v>0</v>
      </c>
      <c r="AI168" s="258">
        <f t="shared" si="55"/>
        <v>0</v>
      </c>
      <c r="AJ168" s="55">
        <f>SUMIFS('tuot-INFO'!W:W,'tuot-INFO'!$A:$A,'tuot-PVÄ'!B168)</f>
        <v>88.814999999999998</v>
      </c>
      <c r="AK168" s="55">
        <f>SUMIFS('tuot-INFO'!X:X,'tuot-INFO'!$A:$A,'tuot-PVÄ'!B168)</f>
        <v>9.5499999999999972</v>
      </c>
    </row>
    <row r="169" spans="1:37" x14ac:dyDescent="0.25">
      <c r="A169" s="169">
        <f t="shared" si="52"/>
        <v>42655</v>
      </c>
      <c r="B169" s="23">
        <f>ROUNDUP((A169-Yleistiedot!$B$4)/7,0)</f>
        <v>41</v>
      </c>
      <c r="C169" s="16"/>
      <c r="D169" s="25"/>
      <c r="E169" s="25"/>
      <c r="F169" s="25"/>
      <c r="G169" s="25"/>
      <c r="H169" s="25"/>
      <c r="I169" s="65">
        <f t="shared" si="47"/>
        <v>0</v>
      </c>
      <c r="J169" s="26"/>
      <c r="K169" s="25"/>
      <c r="L169" s="16"/>
      <c r="M169" s="16"/>
      <c r="N169" s="25"/>
      <c r="O169" s="30"/>
      <c r="P169" s="252">
        <f t="shared" si="42"/>
        <v>9990</v>
      </c>
      <c r="Q169" s="253">
        <f t="shared" si="43"/>
        <v>0</v>
      </c>
      <c r="R169" s="253">
        <f t="shared" si="44"/>
        <v>0</v>
      </c>
      <c r="S169" s="251">
        <f>SUMIFS('tuot-rehukirjanpito'!D:D,'tuot-rehukirjanpito'!A:A,A169)</f>
        <v>0</v>
      </c>
      <c r="T169" s="254">
        <f t="shared" si="53"/>
        <v>1098.9000000000001</v>
      </c>
      <c r="U169" s="254">
        <f t="shared" si="59"/>
        <v>1098.8999999999999</v>
      </c>
      <c r="V169" s="252">
        <f t="shared" si="45"/>
        <v>-183516.29999999944</v>
      </c>
      <c r="W169" s="255">
        <f t="shared" si="56"/>
        <v>-166.99999999999946</v>
      </c>
      <c r="X169" s="256" t="str">
        <f t="shared" si="57"/>
        <v/>
      </c>
      <c r="Y169" s="256" t="str">
        <f t="shared" si="58"/>
        <v/>
      </c>
      <c r="Z169" s="224" t="str">
        <f>IF(IFERROR(INDEX('tuot-rehukirjanpito'!I:I,MATCH(A169,'tuot-rehukirjanpito'!G:G,0)),)=0,"",INDEX('tuot-rehukirjanpito'!I:I,MATCH(A169,'tuot-rehukirjanpito'!G:G,0)))</f>
        <v/>
      </c>
      <c r="AA169" s="224">
        <f>SUMIFS('tuot-INFO'!$K$10:$K$115,'tuot-INFO'!$A$10:$A$115,'tuot-PVÄ'!B169)</f>
        <v>63</v>
      </c>
      <c r="AB169" s="224">
        <f>SUMIFS('rehu-vesi-INFO'!$R:$R,'rehu-vesi-INFO'!$A:$A,'tuot-PVÄ'!B169)</f>
        <v>1681</v>
      </c>
      <c r="AC169" s="224">
        <f>SUMIFS('rehu-vesi-INFO'!$S:$S,'rehu-vesi-INFO'!$A:$A,'tuot-PVÄ'!B169)</f>
        <v>1784</v>
      </c>
      <c r="AD169" s="224">
        <f t="shared" si="48"/>
        <v>103</v>
      </c>
      <c r="AE169" s="224">
        <f t="shared" si="49"/>
        <v>0</v>
      </c>
      <c r="AF169" s="224">
        <f t="shared" si="50"/>
        <v>168.1</v>
      </c>
      <c r="AG169" s="224">
        <f t="shared" si="51"/>
        <v>10.3</v>
      </c>
      <c r="AH169" s="257">
        <f t="shared" si="54"/>
        <v>0</v>
      </c>
      <c r="AI169" s="258">
        <f t="shared" si="55"/>
        <v>0</v>
      </c>
      <c r="AJ169" s="55">
        <f>SUMIFS('tuot-INFO'!W:W,'tuot-INFO'!$A:$A,'tuot-PVÄ'!B169)</f>
        <v>88.814999999999998</v>
      </c>
      <c r="AK169" s="55">
        <f>SUMIFS('tuot-INFO'!X:X,'tuot-INFO'!$A:$A,'tuot-PVÄ'!B169)</f>
        <v>9.5499999999999972</v>
      </c>
    </row>
    <row r="170" spans="1:37" x14ac:dyDescent="0.25">
      <c r="A170" s="169">
        <f t="shared" si="52"/>
        <v>42656</v>
      </c>
      <c r="B170" s="23">
        <f>ROUNDUP((A170-Yleistiedot!$B$4)/7,0)</f>
        <v>41</v>
      </c>
      <c r="C170" s="16"/>
      <c r="D170" s="25"/>
      <c r="E170" s="25"/>
      <c r="F170" s="25"/>
      <c r="G170" s="25"/>
      <c r="H170" s="25"/>
      <c r="I170" s="65">
        <f t="shared" si="47"/>
        <v>0</v>
      </c>
      <c r="J170" s="26"/>
      <c r="K170" s="25"/>
      <c r="L170" s="16"/>
      <c r="M170" s="16"/>
      <c r="N170" s="25"/>
      <c r="O170" s="30"/>
      <c r="P170" s="252">
        <f t="shared" si="42"/>
        <v>9990</v>
      </c>
      <c r="Q170" s="253">
        <f t="shared" si="43"/>
        <v>0</v>
      </c>
      <c r="R170" s="253">
        <f t="shared" si="44"/>
        <v>0</v>
      </c>
      <c r="S170" s="251">
        <f>SUMIFS('tuot-rehukirjanpito'!D:D,'tuot-rehukirjanpito'!A:A,A170)</f>
        <v>0</v>
      </c>
      <c r="T170" s="254">
        <f t="shared" si="53"/>
        <v>1098.9000000000001</v>
      </c>
      <c r="U170" s="254">
        <f t="shared" si="59"/>
        <v>1098.8999999999999</v>
      </c>
      <c r="V170" s="252">
        <f t="shared" si="45"/>
        <v>-184615.19999999943</v>
      </c>
      <c r="W170" s="255">
        <f t="shared" si="56"/>
        <v>-167.99999999999946</v>
      </c>
      <c r="X170" s="256" t="str">
        <f t="shared" si="57"/>
        <v/>
      </c>
      <c r="Y170" s="256" t="str">
        <f t="shared" si="58"/>
        <v/>
      </c>
      <c r="Z170" s="224" t="str">
        <f>IF(IFERROR(INDEX('tuot-rehukirjanpito'!I:I,MATCH(A170,'tuot-rehukirjanpito'!G:G,0)),)=0,"",INDEX('tuot-rehukirjanpito'!I:I,MATCH(A170,'tuot-rehukirjanpito'!G:G,0)))</f>
        <v/>
      </c>
      <c r="AA170" s="224">
        <f>SUMIFS('tuot-INFO'!$K$10:$K$115,'tuot-INFO'!$A$10:$A$115,'tuot-PVÄ'!B170)</f>
        <v>63</v>
      </c>
      <c r="AB170" s="224">
        <f>SUMIFS('rehu-vesi-INFO'!$R:$R,'rehu-vesi-INFO'!$A:$A,'tuot-PVÄ'!B170)</f>
        <v>1681</v>
      </c>
      <c r="AC170" s="224">
        <f>SUMIFS('rehu-vesi-INFO'!$S:$S,'rehu-vesi-INFO'!$A:$A,'tuot-PVÄ'!B170)</f>
        <v>1784</v>
      </c>
      <c r="AD170" s="224">
        <f t="shared" si="48"/>
        <v>103</v>
      </c>
      <c r="AE170" s="224">
        <f t="shared" si="49"/>
        <v>0</v>
      </c>
      <c r="AF170" s="224">
        <f t="shared" si="50"/>
        <v>168.1</v>
      </c>
      <c r="AG170" s="224">
        <f t="shared" si="51"/>
        <v>10.3</v>
      </c>
      <c r="AH170" s="257">
        <f t="shared" si="54"/>
        <v>0</v>
      </c>
      <c r="AI170" s="258">
        <f t="shared" si="55"/>
        <v>0</v>
      </c>
      <c r="AJ170" s="55">
        <f>SUMIFS('tuot-INFO'!W:W,'tuot-INFO'!$A:$A,'tuot-PVÄ'!B170)</f>
        <v>88.814999999999998</v>
      </c>
      <c r="AK170" s="55">
        <f>SUMIFS('tuot-INFO'!X:X,'tuot-INFO'!$A:$A,'tuot-PVÄ'!B170)</f>
        <v>9.5499999999999972</v>
      </c>
    </row>
    <row r="171" spans="1:37" x14ac:dyDescent="0.25">
      <c r="A171" s="169">
        <f t="shared" si="52"/>
        <v>42657</v>
      </c>
      <c r="B171" s="23">
        <f>ROUNDUP((A171-Yleistiedot!$B$4)/7,0)</f>
        <v>41</v>
      </c>
      <c r="C171" s="16"/>
      <c r="D171" s="25"/>
      <c r="E171" s="25"/>
      <c r="F171" s="25"/>
      <c r="G171" s="25"/>
      <c r="H171" s="25"/>
      <c r="I171" s="65">
        <f t="shared" si="47"/>
        <v>0</v>
      </c>
      <c r="J171" s="26"/>
      <c r="K171" s="25"/>
      <c r="L171" s="16"/>
      <c r="M171" s="16"/>
      <c r="N171" s="25"/>
      <c r="O171" s="30"/>
      <c r="P171" s="252">
        <f t="shared" si="42"/>
        <v>9990</v>
      </c>
      <c r="Q171" s="253">
        <f t="shared" si="43"/>
        <v>0</v>
      </c>
      <c r="R171" s="253">
        <f t="shared" si="44"/>
        <v>0</v>
      </c>
      <c r="S171" s="251">
        <f>SUMIFS('tuot-rehukirjanpito'!D:D,'tuot-rehukirjanpito'!A:A,A171)</f>
        <v>0</v>
      </c>
      <c r="T171" s="254">
        <f t="shared" si="53"/>
        <v>1098.9000000000001</v>
      </c>
      <c r="U171" s="254">
        <f t="shared" si="59"/>
        <v>1098.8999999999999</v>
      </c>
      <c r="V171" s="252">
        <f t="shared" si="45"/>
        <v>-185714.09999999942</v>
      </c>
      <c r="W171" s="255">
        <f t="shared" si="56"/>
        <v>-168.99999999999946</v>
      </c>
      <c r="X171" s="256" t="str">
        <f t="shared" si="57"/>
        <v/>
      </c>
      <c r="Y171" s="256" t="str">
        <f t="shared" si="58"/>
        <v/>
      </c>
      <c r="Z171" s="224" t="str">
        <f>IF(IFERROR(INDEX('tuot-rehukirjanpito'!I:I,MATCH(A171,'tuot-rehukirjanpito'!G:G,0)),)=0,"",INDEX('tuot-rehukirjanpito'!I:I,MATCH(A171,'tuot-rehukirjanpito'!G:G,0)))</f>
        <v/>
      </c>
      <c r="AA171" s="224">
        <f>SUMIFS('tuot-INFO'!$K$10:$K$115,'tuot-INFO'!$A$10:$A$115,'tuot-PVÄ'!B171)</f>
        <v>63</v>
      </c>
      <c r="AB171" s="224">
        <f>SUMIFS('rehu-vesi-INFO'!$R:$R,'rehu-vesi-INFO'!$A:$A,'tuot-PVÄ'!B171)</f>
        <v>1681</v>
      </c>
      <c r="AC171" s="224">
        <f>SUMIFS('rehu-vesi-INFO'!$S:$S,'rehu-vesi-INFO'!$A:$A,'tuot-PVÄ'!B171)</f>
        <v>1784</v>
      </c>
      <c r="AD171" s="224">
        <f t="shared" si="48"/>
        <v>103</v>
      </c>
      <c r="AE171" s="224">
        <f t="shared" si="49"/>
        <v>0</v>
      </c>
      <c r="AF171" s="224">
        <f t="shared" si="50"/>
        <v>168.1</v>
      </c>
      <c r="AG171" s="224">
        <f t="shared" si="51"/>
        <v>10.3</v>
      </c>
      <c r="AH171" s="257">
        <f t="shared" si="54"/>
        <v>0</v>
      </c>
      <c r="AI171" s="258">
        <f t="shared" si="55"/>
        <v>0</v>
      </c>
      <c r="AJ171" s="55">
        <f>SUMIFS('tuot-INFO'!W:W,'tuot-INFO'!$A:$A,'tuot-PVÄ'!B171)</f>
        <v>88.814999999999998</v>
      </c>
      <c r="AK171" s="55">
        <f>SUMIFS('tuot-INFO'!X:X,'tuot-INFO'!$A:$A,'tuot-PVÄ'!B171)</f>
        <v>9.5499999999999972</v>
      </c>
    </row>
    <row r="172" spans="1:37" x14ac:dyDescent="0.25">
      <c r="A172" s="169">
        <f t="shared" si="52"/>
        <v>42658</v>
      </c>
      <c r="B172" s="23">
        <f>ROUNDUP((A172-Yleistiedot!$B$4)/7,0)</f>
        <v>42</v>
      </c>
      <c r="C172" s="16"/>
      <c r="D172" s="25"/>
      <c r="E172" s="25"/>
      <c r="F172" s="25"/>
      <c r="G172" s="25"/>
      <c r="H172" s="25"/>
      <c r="I172" s="65">
        <f t="shared" si="47"/>
        <v>0</v>
      </c>
      <c r="J172" s="26"/>
      <c r="K172" s="25"/>
      <c r="L172" s="16"/>
      <c r="M172" s="16"/>
      <c r="N172" s="25"/>
      <c r="O172" s="30"/>
      <c r="P172" s="252">
        <f t="shared" si="42"/>
        <v>9990</v>
      </c>
      <c r="Q172" s="253">
        <f t="shared" si="43"/>
        <v>0</v>
      </c>
      <c r="R172" s="253">
        <f t="shared" si="44"/>
        <v>0</v>
      </c>
      <c r="S172" s="251">
        <f>SUMIFS('tuot-rehukirjanpito'!D:D,'tuot-rehukirjanpito'!A:A,A172)</f>
        <v>0</v>
      </c>
      <c r="T172" s="254">
        <f t="shared" si="53"/>
        <v>1098.9000000000001</v>
      </c>
      <c r="U172" s="254">
        <f t="shared" si="59"/>
        <v>1098.8999999999999</v>
      </c>
      <c r="V172" s="252">
        <f t="shared" si="45"/>
        <v>-186812.99999999942</v>
      </c>
      <c r="W172" s="255">
        <f t="shared" si="56"/>
        <v>-169.99999999999946</v>
      </c>
      <c r="X172" s="256" t="str">
        <f t="shared" si="57"/>
        <v/>
      </c>
      <c r="Y172" s="256" t="str">
        <f t="shared" si="58"/>
        <v/>
      </c>
      <c r="Z172" s="224" t="str">
        <f>IF(IFERROR(INDEX('tuot-rehukirjanpito'!I:I,MATCH(A172,'tuot-rehukirjanpito'!G:G,0)),)=0,"",INDEX('tuot-rehukirjanpito'!I:I,MATCH(A172,'tuot-rehukirjanpito'!G:G,0)))</f>
        <v/>
      </c>
      <c r="AA172" s="224">
        <f>SUMIFS('tuot-INFO'!$K$10:$K$115,'tuot-INFO'!$A$10:$A$115,'tuot-PVÄ'!B172)</f>
        <v>63.2</v>
      </c>
      <c r="AB172" s="224">
        <f>SUMIFS('rehu-vesi-INFO'!$R:$R,'rehu-vesi-INFO'!$A:$A,'tuot-PVÄ'!B172)</f>
        <v>1683</v>
      </c>
      <c r="AC172" s="224">
        <f>SUMIFS('rehu-vesi-INFO'!$S:$S,'rehu-vesi-INFO'!$A:$A,'tuot-PVÄ'!B172)</f>
        <v>1787</v>
      </c>
      <c r="AD172" s="224">
        <f t="shared" si="48"/>
        <v>104</v>
      </c>
      <c r="AE172" s="224">
        <f t="shared" si="49"/>
        <v>0</v>
      </c>
      <c r="AF172" s="224">
        <f t="shared" si="50"/>
        <v>168.3</v>
      </c>
      <c r="AG172" s="224">
        <f t="shared" si="51"/>
        <v>10.4</v>
      </c>
      <c r="AH172" s="257">
        <f t="shared" si="54"/>
        <v>0</v>
      </c>
      <c r="AI172" s="258">
        <f t="shared" si="55"/>
        <v>0</v>
      </c>
      <c r="AJ172" s="55">
        <f>SUMIFS('tuot-INFO'!W:W,'tuot-INFO'!$A:$A,'tuot-PVÄ'!B172)</f>
        <v>88.536000000000001</v>
      </c>
      <c r="AK172" s="55">
        <f>SUMIFS('tuot-INFO'!X:X,'tuot-INFO'!$A:$A,'tuot-PVÄ'!B172)</f>
        <v>9.519999999999996</v>
      </c>
    </row>
    <row r="173" spans="1:37" x14ac:dyDescent="0.25">
      <c r="A173" s="169">
        <f t="shared" si="52"/>
        <v>42659</v>
      </c>
      <c r="B173" s="23">
        <f>ROUNDUP((A173-Yleistiedot!$B$4)/7,0)</f>
        <v>42</v>
      </c>
      <c r="C173" s="16"/>
      <c r="D173" s="25"/>
      <c r="E173" s="25"/>
      <c r="F173" s="25"/>
      <c r="G173" s="25"/>
      <c r="H173" s="25"/>
      <c r="I173" s="65">
        <f t="shared" si="47"/>
        <v>0</v>
      </c>
      <c r="J173" s="26"/>
      <c r="K173" s="25"/>
      <c r="L173" s="16"/>
      <c r="M173" s="16"/>
      <c r="N173" s="25"/>
      <c r="O173" s="30"/>
      <c r="P173" s="252">
        <f t="shared" si="42"/>
        <v>9990</v>
      </c>
      <c r="Q173" s="253">
        <f t="shared" si="43"/>
        <v>0</v>
      </c>
      <c r="R173" s="253">
        <f t="shared" si="44"/>
        <v>0</v>
      </c>
      <c r="S173" s="251">
        <f>SUMIFS('tuot-rehukirjanpito'!D:D,'tuot-rehukirjanpito'!A:A,A173)</f>
        <v>0</v>
      </c>
      <c r="T173" s="254">
        <f t="shared" si="53"/>
        <v>1098.9000000000001</v>
      </c>
      <c r="U173" s="254">
        <f t="shared" si="59"/>
        <v>1098.8999999999999</v>
      </c>
      <c r="V173" s="252">
        <f t="shared" si="45"/>
        <v>-187911.89999999941</v>
      </c>
      <c r="W173" s="255">
        <f t="shared" si="56"/>
        <v>-170.99999999999946</v>
      </c>
      <c r="X173" s="256" t="str">
        <f t="shared" si="57"/>
        <v/>
      </c>
      <c r="Y173" s="256" t="str">
        <f t="shared" si="58"/>
        <v/>
      </c>
      <c r="Z173" s="224" t="str">
        <f>IF(IFERROR(INDEX('tuot-rehukirjanpito'!I:I,MATCH(A173,'tuot-rehukirjanpito'!G:G,0)),)=0,"",INDEX('tuot-rehukirjanpito'!I:I,MATCH(A173,'tuot-rehukirjanpito'!G:G,0)))</f>
        <v/>
      </c>
      <c r="AA173" s="224">
        <f>SUMIFS('tuot-INFO'!$K$10:$K$115,'tuot-INFO'!$A$10:$A$115,'tuot-PVÄ'!B173)</f>
        <v>63.2</v>
      </c>
      <c r="AB173" s="224">
        <f>SUMIFS('rehu-vesi-INFO'!$R:$R,'rehu-vesi-INFO'!$A:$A,'tuot-PVÄ'!B173)</f>
        <v>1683</v>
      </c>
      <c r="AC173" s="224">
        <f>SUMIFS('rehu-vesi-INFO'!$S:$S,'rehu-vesi-INFO'!$A:$A,'tuot-PVÄ'!B173)</f>
        <v>1787</v>
      </c>
      <c r="AD173" s="224">
        <f t="shared" si="48"/>
        <v>104</v>
      </c>
      <c r="AE173" s="224">
        <f t="shared" si="49"/>
        <v>0</v>
      </c>
      <c r="AF173" s="224">
        <f t="shared" si="50"/>
        <v>168.3</v>
      </c>
      <c r="AG173" s="224">
        <f t="shared" si="51"/>
        <v>10.4</v>
      </c>
      <c r="AH173" s="257">
        <f t="shared" si="54"/>
        <v>0</v>
      </c>
      <c r="AI173" s="258">
        <f t="shared" si="55"/>
        <v>0</v>
      </c>
      <c r="AJ173" s="55">
        <f>SUMIFS('tuot-INFO'!W:W,'tuot-INFO'!$A:$A,'tuot-PVÄ'!B173)</f>
        <v>88.536000000000001</v>
      </c>
      <c r="AK173" s="55">
        <f>SUMIFS('tuot-INFO'!X:X,'tuot-INFO'!$A:$A,'tuot-PVÄ'!B173)</f>
        <v>9.519999999999996</v>
      </c>
    </row>
    <row r="174" spans="1:37" x14ac:dyDescent="0.25">
      <c r="A174" s="169">
        <f t="shared" si="52"/>
        <v>42660</v>
      </c>
      <c r="B174" s="23">
        <f>ROUNDUP((A174-Yleistiedot!$B$4)/7,0)</f>
        <v>42</v>
      </c>
      <c r="C174" s="16"/>
      <c r="D174" s="25"/>
      <c r="E174" s="25"/>
      <c r="F174" s="25"/>
      <c r="G174" s="25"/>
      <c r="H174" s="25"/>
      <c r="I174" s="65">
        <f t="shared" si="47"/>
        <v>0</v>
      </c>
      <c r="J174" s="26"/>
      <c r="K174" s="25"/>
      <c r="L174" s="16"/>
      <c r="M174" s="16"/>
      <c r="N174" s="25"/>
      <c r="O174" s="30"/>
      <c r="P174" s="252">
        <f t="shared" si="42"/>
        <v>9990</v>
      </c>
      <c r="Q174" s="253">
        <f t="shared" si="43"/>
        <v>0</v>
      </c>
      <c r="R174" s="253">
        <f t="shared" si="44"/>
        <v>0</v>
      </c>
      <c r="S174" s="251">
        <f>SUMIFS('tuot-rehukirjanpito'!D:D,'tuot-rehukirjanpito'!A:A,A174)</f>
        <v>0</v>
      </c>
      <c r="T174" s="254">
        <f t="shared" si="53"/>
        <v>1098.9000000000001</v>
      </c>
      <c r="U174" s="254">
        <f t="shared" si="59"/>
        <v>1098.8999999999999</v>
      </c>
      <c r="V174" s="252">
        <f t="shared" si="45"/>
        <v>-189010.79999999941</v>
      </c>
      <c r="W174" s="255">
        <f t="shared" si="56"/>
        <v>-171.99999999999943</v>
      </c>
      <c r="X174" s="256" t="str">
        <f t="shared" si="57"/>
        <v/>
      </c>
      <c r="Y174" s="256" t="str">
        <f t="shared" si="58"/>
        <v/>
      </c>
      <c r="Z174" s="224" t="str">
        <f>IF(IFERROR(INDEX('tuot-rehukirjanpito'!I:I,MATCH(A174,'tuot-rehukirjanpito'!G:G,0)),)=0,"",INDEX('tuot-rehukirjanpito'!I:I,MATCH(A174,'tuot-rehukirjanpito'!G:G,0)))</f>
        <v/>
      </c>
      <c r="AA174" s="224">
        <f>SUMIFS('tuot-INFO'!$K$10:$K$115,'tuot-INFO'!$A$10:$A$115,'tuot-PVÄ'!B174)</f>
        <v>63.2</v>
      </c>
      <c r="AB174" s="224">
        <f>SUMIFS('rehu-vesi-INFO'!$R:$R,'rehu-vesi-INFO'!$A:$A,'tuot-PVÄ'!B174)</f>
        <v>1683</v>
      </c>
      <c r="AC174" s="224">
        <f>SUMIFS('rehu-vesi-INFO'!$S:$S,'rehu-vesi-INFO'!$A:$A,'tuot-PVÄ'!B174)</f>
        <v>1787</v>
      </c>
      <c r="AD174" s="224">
        <f t="shared" si="48"/>
        <v>104</v>
      </c>
      <c r="AE174" s="224">
        <f t="shared" si="49"/>
        <v>0</v>
      </c>
      <c r="AF174" s="224">
        <f t="shared" si="50"/>
        <v>168.3</v>
      </c>
      <c r="AG174" s="224">
        <f t="shared" si="51"/>
        <v>10.4</v>
      </c>
      <c r="AH174" s="257">
        <f t="shared" si="54"/>
        <v>0</v>
      </c>
      <c r="AI174" s="258">
        <f t="shared" si="55"/>
        <v>0</v>
      </c>
      <c r="AJ174" s="55">
        <f>SUMIFS('tuot-INFO'!W:W,'tuot-INFO'!$A:$A,'tuot-PVÄ'!B174)</f>
        <v>88.536000000000001</v>
      </c>
      <c r="AK174" s="55">
        <f>SUMIFS('tuot-INFO'!X:X,'tuot-INFO'!$A:$A,'tuot-PVÄ'!B174)</f>
        <v>9.519999999999996</v>
      </c>
    </row>
    <row r="175" spans="1:37" x14ac:dyDescent="0.25">
      <c r="A175" s="169">
        <f t="shared" si="52"/>
        <v>42661</v>
      </c>
      <c r="B175" s="23">
        <f>ROUNDUP((A175-Yleistiedot!$B$4)/7,0)</f>
        <v>42</v>
      </c>
      <c r="C175" s="16"/>
      <c r="D175" s="25"/>
      <c r="E175" s="25"/>
      <c r="F175" s="25"/>
      <c r="G175" s="25"/>
      <c r="H175" s="25"/>
      <c r="I175" s="65">
        <f t="shared" si="47"/>
        <v>0</v>
      </c>
      <c r="J175" s="26"/>
      <c r="K175" s="25"/>
      <c r="L175" s="16"/>
      <c r="M175" s="16"/>
      <c r="N175" s="25"/>
      <c r="O175" s="30"/>
      <c r="P175" s="252">
        <f t="shared" si="42"/>
        <v>9990</v>
      </c>
      <c r="Q175" s="253">
        <f t="shared" si="43"/>
        <v>0</v>
      </c>
      <c r="R175" s="253">
        <f t="shared" si="44"/>
        <v>0</v>
      </c>
      <c r="S175" s="251">
        <f>SUMIFS('tuot-rehukirjanpito'!D:D,'tuot-rehukirjanpito'!A:A,A175)</f>
        <v>0</v>
      </c>
      <c r="T175" s="254">
        <f t="shared" si="53"/>
        <v>1098.9000000000001</v>
      </c>
      <c r="U175" s="254">
        <f t="shared" si="59"/>
        <v>1098.8999999999999</v>
      </c>
      <c r="V175" s="252">
        <f t="shared" si="45"/>
        <v>-190109.6999999994</v>
      </c>
      <c r="W175" s="255">
        <f t="shared" si="56"/>
        <v>-172.99999999999943</v>
      </c>
      <c r="X175" s="256" t="str">
        <f t="shared" si="57"/>
        <v/>
      </c>
      <c r="Y175" s="256" t="str">
        <f t="shared" si="58"/>
        <v/>
      </c>
      <c r="Z175" s="224" t="str">
        <f>IF(IFERROR(INDEX('tuot-rehukirjanpito'!I:I,MATCH(A175,'tuot-rehukirjanpito'!G:G,0)),)=0,"",INDEX('tuot-rehukirjanpito'!I:I,MATCH(A175,'tuot-rehukirjanpito'!G:G,0)))</f>
        <v/>
      </c>
      <c r="AA175" s="224">
        <f>SUMIFS('tuot-INFO'!$K$10:$K$115,'tuot-INFO'!$A$10:$A$115,'tuot-PVÄ'!B175)</f>
        <v>63.2</v>
      </c>
      <c r="AB175" s="224">
        <f>SUMIFS('rehu-vesi-INFO'!$R:$R,'rehu-vesi-INFO'!$A:$A,'tuot-PVÄ'!B175)</f>
        <v>1683</v>
      </c>
      <c r="AC175" s="224">
        <f>SUMIFS('rehu-vesi-INFO'!$S:$S,'rehu-vesi-INFO'!$A:$A,'tuot-PVÄ'!B175)</f>
        <v>1787</v>
      </c>
      <c r="AD175" s="224">
        <f t="shared" si="48"/>
        <v>104</v>
      </c>
      <c r="AE175" s="224">
        <f t="shared" si="49"/>
        <v>0</v>
      </c>
      <c r="AF175" s="224">
        <f t="shared" si="50"/>
        <v>168.3</v>
      </c>
      <c r="AG175" s="224">
        <f t="shared" si="51"/>
        <v>10.4</v>
      </c>
      <c r="AH175" s="257">
        <f t="shared" si="54"/>
        <v>0</v>
      </c>
      <c r="AI175" s="258">
        <f t="shared" si="55"/>
        <v>0</v>
      </c>
      <c r="AJ175" s="55">
        <f>SUMIFS('tuot-INFO'!W:W,'tuot-INFO'!$A:$A,'tuot-PVÄ'!B175)</f>
        <v>88.536000000000001</v>
      </c>
      <c r="AK175" s="55">
        <f>SUMIFS('tuot-INFO'!X:X,'tuot-INFO'!$A:$A,'tuot-PVÄ'!B175)</f>
        <v>9.519999999999996</v>
      </c>
    </row>
    <row r="176" spans="1:37" x14ac:dyDescent="0.25">
      <c r="A176" s="169">
        <f t="shared" si="52"/>
        <v>42662</v>
      </c>
      <c r="B176" s="23">
        <f>ROUNDUP((A176-Yleistiedot!$B$4)/7,0)</f>
        <v>42</v>
      </c>
      <c r="C176" s="16"/>
      <c r="D176" s="25"/>
      <c r="E176" s="25"/>
      <c r="F176" s="25"/>
      <c r="G176" s="25"/>
      <c r="H176" s="25"/>
      <c r="I176" s="65">
        <f t="shared" si="47"/>
        <v>0</v>
      </c>
      <c r="J176" s="26"/>
      <c r="K176" s="25"/>
      <c r="L176" s="16"/>
      <c r="M176" s="16"/>
      <c r="N176" s="25"/>
      <c r="O176" s="30"/>
      <c r="P176" s="252">
        <f t="shared" si="42"/>
        <v>9990</v>
      </c>
      <c r="Q176" s="253">
        <f t="shared" si="43"/>
        <v>0</v>
      </c>
      <c r="R176" s="253">
        <f t="shared" si="44"/>
        <v>0</v>
      </c>
      <c r="S176" s="251">
        <f>SUMIFS('tuot-rehukirjanpito'!D:D,'tuot-rehukirjanpito'!A:A,A176)</f>
        <v>0</v>
      </c>
      <c r="T176" s="254">
        <f t="shared" si="53"/>
        <v>1098.9000000000001</v>
      </c>
      <c r="U176" s="254">
        <f t="shared" si="59"/>
        <v>1098.8999999999999</v>
      </c>
      <c r="V176" s="252">
        <f t="shared" si="45"/>
        <v>-191208.59999999939</v>
      </c>
      <c r="W176" s="255">
        <f t="shared" si="56"/>
        <v>-173.99999999999943</v>
      </c>
      <c r="X176" s="256" t="str">
        <f t="shared" si="57"/>
        <v/>
      </c>
      <c r="Y176" s="256" t="str">
        <f t="shared" si="58"/>
        <v/>
      </c>
      <c r="Z176" s="224" t="str">
        <f>IF(IFERROR(INDEX('tuot-rehukirjanpito'!I:I,MATCH(A176,'tuot-rehukirjanpito'!G:G,0)),)=0,"",INDEX('tuot-rehukirjanpito'!I:I,MATCH(A176,'tuot-rehukirjanpito'!G:G,0)))</f>
        <v/>
      </c>
      <c r="AA176" s="224">
        <f>SUMIFS('tuot-INFO'!$K$10:$K$115,'tuot-INFO'!$A$10:$A$115,'tuot-PVÄ'!B176)</f>
        <v>63.2</v>
      </c>
      <c r="AB176" s="224">
        <f>SUMIFS('rehu-vesi-INFO'!$R:$R,'rehu-vesi-INFO'!$A:$A,'tuot-PVÄ'!B176)</f>
        <v>1683</v>
      </c>
      <c r="AC176" s="224">
        <f>SUMIFS('rehu-vesi-INFO'!$S:$S,'rehu-vesi-INFO'!$A:$A,'tuot-PVÄ'!B176)</f>
        <v>1787</v>
      </c>
      <c r="AD176" s="224">
        <f t="shared" si="48"/>
        <v>104</v>
      </c>
      <c r="AE176" s="224">
        <f t="shared" si="49"/>
        <v>0</v>
      </c>
      <c r="AF176" s="224">
        <f t="shared" si="50"/>
        <v>168.3</v>
      </c>
      <c r="AG176" s="224">
        <f t="shared" si="51"/>
        <v>10.4</v>
      </c>
      <c r="AH176" s="257">
        <f t="shared" si="54"/>
        <v>0</v>
      </c>
      <c r="AI176" s="258">
        <f t="shared" si="55"/>
        <v>0</v>
      </c>
      <c r="AJ176" s="55">
        <f>SUMIFS('tuot-INFO'!W:W,'tuot-INFO'!$A:$A,'tuot-PVÄ'!B176)</f>
        <v>88.536000000000001</v>
      </c>
      <c r="AK176" s="55">
        <f>SUMIFS('tuot-INFO'!X:X,'tuot-INFO'!$A:$A,'tuot-PVÄ'!B176)</f>
        <v>9.519999999999996</v>
      </c>
    </row>
    <row r="177" spans="1:37" x14ac:dyDescent="0.25">
      <c r="A177" s="169">
        <f t="shared" si="52"/>
        <v>42663</v>
      </c>
      <c r="B177" s="23">
        <f>ROUNDUP((A177-Yleistiedot!$B$4)/7,0)</f>
        <v>42</v>
      </c>
      <c r="C177" s="16"/>
      <c r="D177" s="25"/>
      <c r="E177" s="25"/>
      <c r="F177" s="25"/>
      <c r="G177" s="25"/>
      <c r="H177" s="25"/>
      <c r="I177" s="65">
        <f t="shared" si="47"/>
        <v>0</v>
      </c>
      <c r="J177" s="26"/>
      <c r="K177" s="25"/>
      <c r="L177" s="16"/>
      <c r="M177" s="16"/>
      <c r="N177" s="25"/>
      <c r="O177" s="30"/>
      <c r="P177" s="252">
        <f t="shared" si="42"/>
        <v>9990</v>
      </c>
      <c r="Q177" s="253">
        <f t="shared" si="43"/>
        <v>0</v>
      </c>
      <c r="R177" s="253">
        <f t="shared" si="44"/>
        <v>0</v>
      </c>
      <c r="S177" s="251">
        <f>SUMIFS('tuot-rehukirjanpito'!D:D,'tuot-rehukirjanpito'!A:A,A177)</f>
        <v>0</v>
      </c>
      <c r="T177" s="254">
        <f t="shared" si="53"/>
        <v>1098.9000000000001</v>
      </c>
      <c r="U177" s="254">
        <f t="shared" si="59"/>
        <v>1098.8999999999999</v>
      </c>
      <c r="V177" s="252">
        <f t="shared" si="45"/>
        <v>-192307.49999999939</v>
      </c>
      <c r="W177" s="255">
        <f t="shared" si="56"/>
        <v>-174.99999999999943</v>
      </c>
      <c r="X177" s="256" t="str">
        <f t="shared" si="57"/>
        <v/>
      </c>
      <c r="Y177" s="256" t="str">
        <f t="shared" si="58"/>
        <v/>
      </c>
      <c r="Z177" s="224" t="str">
        <f>IF(IFERROR(INDEX('tuot-rehukirjanpito'!I:I,MATCH(A177,'tuot-rehukirjanpito'!G:G,0)),)=0,"",INDEX('tuot-rehukirjanpito'!I:I,MATCH(A177,'tuot-rehukirjanpito'!G:G,0)))</f>
        <v/>
      </c>
      <c r="AA177" s="224">
        <f>SUMIFS('tuot-INFO'!$K$10:$K$115,'tuot-INFO'!$A$10:$A$115,'tuot-PVÄ'!B177)</f>
        <v>63.2</v>
      </c>
      <c r="AB177" s="224">
        <f>SUMIFS('rehu-vesi-INFO'!$R:$R,'rehu-vesi-INFO'!$A:$A,'tuot-PVÄ'!B177)</f>
        <v>1683</v>
      </c>
      <c r="AC177" s="224">
        <f>SUMIFS('rehu-vesi-INFO'!$S:$S,'rehu-vesi-INFO'!$A:$A,'tuot-PVÄ'!B177)</f>
        <v>1787</v>
      </c>
      <c r="AD177" s="224">
        <f t="shared" si="48"/>
        <v>104</v>
      </c>
      <c r="AE177" s="224">
        <f t="shared" si="49"/>
        <v>0</v>
      </c>
      <c r="AF177" s="224">
        <f t="shared" si="50"/>
        <v>168.3</v>
      </c>
      <c r="AG177" s="224">
        <f t="shared" si="51"/>
        <v>10.4</v>
      </c>
      <c r="AH177" s="257">
        <f t="shared" si="54"/>
        <v>0</v>
      </c>
      <c r="AI177" s="258">
        <f t="shared" si="55"/>
        <v>0</v>
      </c>
      <c r="AJ177" s="55">
        <f>SUMIFS('tuot-INFO'!W:W,'tuot-INFO'!$A:$A,'tuot-PVÄ'!B177)</f>
        <v>88.536000000000001</v>
      </c>
      <c r="AK177" s="55">
        <f>SUMIFS('tuot-INFO'!X:X,'tuot-INFO'!$A:$A,'tuot-PVÄ'!B177)</f>
        <v>9.519999999999996</v>
      </c>
    </row>
    <row r="178" spans="1:37" x14ac:dyDescent="0.25">
      <c r="A178" s="169">
        <f t="shared" si="52"/>
        <v>42664</v>
      </c>
      <c r="B178" s="23">
        <f>ROUNDUP((A178-Yleistiedot!$B$4)/7,0)</f>
        <v>42</v>
      </c>
      <c r="C178" s="16"/>
      <c r="D178" s="25"/>
      <c r="E178" s="25"/>
      <c r="F178" s="25"/>
      <c r="G178" s="25"/>
      <c r="H178" s="25"/>
      <c r="I178" s="65">
        <f t="shared" si="47"/>
        <v>0</v>
      </c>
      <c r="J178" s="26"/>
      <c r="K178" s="25"/>
      <c r="L178" s="16"/>
      <c r="M178" s="16"/>
      <c r="N178" s="25"/>
      <c r="O178" s="30"/>
      <c r="P178" s="252">
        <f t="shared" si="42"/>
        <v>9990</v>
      </c>
      <c r="Q178" s="253">
        <f t="shared" si="43"/>
        <v>0</v>
      </c>
      <c r="R178" s="253">
        <f t="shared" si="44"/>
        <v>0</v>
      </c>
      <c r="S178" s="251">
        <f>SUMIFS('tuot-rehukirjanpito'!D:D,'tuot-rehukirjanpito'!A:A,A178)</f>
        <v>0</v>
      </c>
      <c r="T178" s="254">
        <f t="shared" si="53"/>
        <v>1098.9000000000001</v>
      </c>
      <c r="U178" s="254">
        <f t="shared" si="59"/>
        <v>1098.8999999999999</v>
      </c>
      <c r="V178" s="252">
        <f t="shared" si="45"/>
        <v>-193406.39999999938</v>
      </c>
      <c r="W178" s="255">
        <f t="shared" si="56"/>
        <v>-175.99999999999943</v>
      </c>
      <c r="X178" s="256" t="str">
        <f t="shared" si="57"/>
        <v/>
      </c>
      <c r="Y178" s="256" t="str">
        <f t="shared" si="58"/>
        <v/>
      </c>
      <c r="Z178" s="224" t="str">
        <f>IF(IFERROR(INDEX('tuot-rehukirjanpito'!I:I,MATCH(A178,'tuot-rehukirjanpito'!G:G,0)),)=0,"",INDEX('tuot-rehukirjanpito'!I:I,MATCH(A178,'tuot-rehukirjanpito'!G:G,0)))</f>
        <v/>
      </c>
      <c r="AA178" s="224">
        <f>SUMIFS('tuot-INFO'!$K$10:$K$115,'tuot-INFO'!$A$10:$A$115,'tuot-PVÄ'!B178)</f>
        <v>63.2</v>
      </c>
      <c r="AB178" s="224">
        <f>SUMIFS('rehu-vesi-INFO'!$R:$R,'rehu-vesi-INFO'!$A:$A,'tuot-PVÄ'!B178)</f>
        <v>1683</v>
      </c>
      <c r="AC178" s="224">
        <f>SUMIFS('rehu-vesi-INFO'!$S:$S,'rehu-vesi-INFO'!$A:$A,'tuot-PVÄ'!B178)</f>
        <v>1787</v>
      </c>
      <c r="AD178" s="224">
        <f t="shared" si="48"/>
        <v>104</v>
      </c>
      <c r="AE178" s="224">
        <f t="shared" si="49"/>
        <v>0</v>
      </c>
      <c r="AF178" s="224">
        <f t="shared" si="50"/>
        <v>168.3</v>
      </c>
      <c r="AG178" s="224">
        <f t="shared" si="51"/>
        <v>10.4</v>
      </c>
      <c r="AH178" s="257">
        <f t="shared" si="54"/>
        <v>0</v>
      </c>
      <c r="AI178" s="258">
        <f t="shared" si="55"/>
        <v>0</v>
      </c>
      <c r="AJ178" s="55">
        <f>SUMIFS('tuot-INFO'!W:W,'tuot-INFO'!$A:$A,'tuot-PVÄ'!B178)</f>
        <v>88.536000000000001</v>
      </c>
      <c r="AK178" s="55">
        <f>SUMIFS('tuot-INFO'!X:X,'tuot-INFO'!$A:$A,'tuot-PVÄ'!B178)</f>
        <v>9.519999999999996</v>
      </c>
    </row>
    <row r="179" spans="1:37" x14ac:dyDescent="0.25">
      <c r="A179" s="169">
        <f t="shared" si="52"/>
        <v>42665</v>
      </c>
      <c r="B179" s="23">
        <f>ROUNDUP((A179-Yleistiedot!$B$4)/7,0)</f>
        <v>43</v>
      </c>
      <c r="C179" s="16"/>
      <c r="D179" s="25"/>
      <c r="E179" s="25"/>
      <c r="F179" s="25"/>
      <c r="G179" s="25"/>
      <c r="H179" s="25"/>
      <c r="I179" s="65">
        <f t="shared" si="47"/>
        <v>0</v>
      </c>
      <c r="J179" s="26"/>
      <c r="K179" s="25"/>
      <c r="L179" s="16"/>
      <c r="M179" s="16"/>
      <c r="N179" s="25"/>
      <c r="O179" s="30"/>
      <c r="P179" s="252">
        <f t="shared" si="42"/>
        <v>9990</v>
      </c>
      <c r="Q179" s="253">
        <f t="shared" si="43"/>
        <v>0</v>
      </c>
      <c r="R179" s="253">
        <f t="shared" si="44"/>
        <v>0</v>
      </c>
      <c r="S179" s="251">
        <f>SUMIFS('tuot-rehukirjanpito'!D:D,'tuot-rehukirjanpito'!A:A,A179)</f>
        <v>0</v>
      </c>
      <c r="T179" s="254">
        <f t="shared" si="53"/>
        <v>1098.9000000000001</v>
      </c>
      <c r="U179" s="254">
        <f t="shared" si="59"/>
        <v>1098.8999999999999</v>
      </c>
      <c r="V179" s="252">
        <f t="shared" si="45"/>
        <v>-194505.29999999938</v>
      </c>
      <c r="W179" s="255">
        <f t="shared" si="56"/>
        <v>-176.99999999999943</v>
      </c>
      <c r="X179" s="256" t="str">
        <f t="shared" si="57"/>
        <v/>
      </c>
      <c r="Y179" s="256" t="str">
        <f t="shared" si="58"/>
        <v/>
      </c>
      <c r="Z179" s="224" t="str">
        <f>IF(IFERROR(INDEX('tuot-rehukirjanpito'!I:I,MATCH(A179,'tuot-rehukirjanpito'!G:G,0)),)=0,"",INDEX('tuot-rehukirjanpito'!I:I,MATCH(A179,'tuot-rehukirjanpito'!G:G,0)))</f>
        <v/>
      </c>
      <c r="AA179" s="224">
        <f>SUMIFS('tuot-INFO'!$K$10:$K$115,'tuot-INFO'!$A$10:$A$115,'tuot-PVÄ'!B179)</f>
        <v>63.4</v>
      </c>
      <c r="AB179" s="224">
        <f>SUMIFS('rehu-vesi-INFO'!$R:$R,'rehu-vesi-INFO'!$A:$A,'tuot-PVÄ'!B179)</f>
        <v>1685</v>
      </c>
      <c r="AC179" s="224">
        <f>SUMIFS('rehu-vesi-INFO'!$S:$S,'rehu-vesi-INFO'!$A:$A,'tuot-PVÄ'!B179)</f>
        <v>1790</v>
      </c>
      <c r="AD179" s="224">
        <f t="shared" si="48"/>
        <v>105</v>
      </c>
      <c r="AE179" s="224">
        <f t="shared" si="49"/>
        <v>0</v>
      </c>
      <c r="AF179" s="224">
        <f t="shared" si="50"/>
        <v>168.5</v>
      </c>
      <c r="AG179" s="224">
        <f t="shared" si="51"/>
        <v>10.5</v>
      </c>
      <c r="AH179" s="257">
        <f t="shared" si="54"/>
        <v>0</v>
      </c>
      <c r="AI179" s="258">
        <f t="shared" si="55"/>
        <v>0</v>
      </c>
      <c r="AJ179" s="55">
        <f>SUMIFS('tuot-INFO'!W:W,'tuot-INFO'!$A:$A,'tuot-PVÄ'!B179)</f>
        <v>88.35</v>
      </c>
      <c r="AK179" s="55">
        <f>SUMIFS('tuot-INFO'!X:X,'tuot-INFO'!$A:$A,'tuot-PVÄ'!B179)</f>
        <v>9.5</v>
      </c>
    </row>
    <row r="180" spans="1:37" x14ac:dyDescent="0.25">
      <c r="A180" s="169">
        <f t="shared" si="52"/>
        <v>42666</v>
      </c>
      <c r="B180" s="23">
        <f>ROUNDUP((A180-Yleistiedot!$B$4)/7,0)</f>
        <v>43</v>
      </c>
      <c r="C180" s="16"/>
      <c r="D180" s="25"/>
      <c r="E180" s="25"/>
      <c r="F180" s="25"/>
      <c r="G180" s="25"/>
      <c r="H180" s="25"/>
      <c r="I180" s="65">
        <f t="shared" si="47"/>
        <v>0</v>
      </c>
      <c r="J180" s="26"/>
      <c r="K180" s="25"/>
      <c r="L180" s="16"/>
      <c r="M180" s="16"/>
      <c r="N180" s="25"/>
      <c r="O180" s="30"/>
      <c r="P180" s="252">
        <f t="shared" si="42"/>
        <v>9990</v>
      </c>
      <c r="Q180" s="253">
        <f t="shared" si="43"/>
        <v>0</v>
      </c>
      <c r="R180" s="253">
        <f t="shared" si="44"/>
        <v>0</v>
      </c>
      <c r="S180" s="251">
        <f>SUMIFS('tuot-rehukirjanpito'!D:D,'tuot-rehukirjanpito'!A:A,A180)</f>
        <v>0</v>
      </c>
      <c r="T180" s="254">
        <f t="shared" si="53"/>
        <v>1098.9000000000001</v>
      </c>
      <c r="U180" s="254">
        <f t="shared" si="59"/>
        <v>1098.8999999999999</v>
      </c>
      <c r="V180" s="252">
        <f t="shared" si="45"/>
        <v>-195604.19999999937</v>
      </c>
      <c r="W180" s="255">
        <f t="shared" si="56"/>
        <v>-177.9999999999994</v>
      </c>
      <c r="X180" s="256" t="str">
        <f t="shared" si="57"/>
        <v/>
      </c>
      <c r="Y180" s="256" t="str">
        <f t="shared" si="58"/>
        <v/>
      </c>
      <c r="Z180" s="224" t="str">
        <f>IF(IFERROR(INDEX('tuot-rehukirjanpito'!I:I,MATCH(A180,'tuot-rehukirjanpito'!G:G,0)),)=0,"",INDEX('tuot-rehukirjanpito'!I:I,MATCH(A180,'tuot-rehukirjanpito'!G:G,0)))</f>
        <v/>
      </c>
      <c r="AA180" s="224">
        <f>SUMIFS('tuot-INFO'!$K$10:$K$115,'tuot-INFO'!$A$10:$A$115,'tuot-PVÄ'!B180)</f>
        <v>63.4</v>
      </c>
      <c r="AB180" s="224">
        <f>SUMIFS('rehu-vesi-INFO'!$R:$R,'rehu-vesi-INFO'!$A:$A,'tuot-PVÄ'!B180)</f>
        <v>1685</v>
      </c>
      <c r="AC180" s="224">
        <f>SUMIFS('rehu-vesi-INFO'!$S:$S,'rehu-vesi-INFO'!$A:$A,'tuot-PVÄ'!B180)</f>
        <v>1790</v>
      </c>
      <c r="AD180" s="224">
        <f t="shared" si="48"/>
        <v>105</v>
      </c>
      <c r="AE180" s="224">
        <f t="shared" si="49"/>
        <v>0</v>
      </c>
      <c r="AF180" s="224">
        <f t="shared" si="50"/>
        <v>168.5</v>
      </c>
      <c r="AG180" s="224">
        <f t="shared" si="51"/>
        <v>10.5</v>
      </c>
      <c r="AH180" s="257">
        <f t="shared" si="54"/>
        <v>0</v>
      </c>
      <c r="AI180" s="258">
        <f t="shared" si="55"/>
        <v>0</v>
      </c>
      <c r="AJ180" s="55">
        <f>SUMIFS('tuot-INFO'!W:W,'tuot-INFO'!$A:$A,'tuot-PVÄ'!B180)</f>
        <v>88.35</v>
      </c>
      <c r="AK180" s="55">
        <f>SUMIFS('tuot-INFO'!X:X,'tuot-INFO'!$A:$A,'tuot-PVÄ'!B180)</f>
        <v>9.5</v>
      </c>
    </row>
    <row r="181" spans="1:37" x14ac:dyDescent="0.25">
      <c r="A181" s="169">
        <f t="shared" si="52"/>
        <v>42667</v>
      </c>
      <c r="B181" s="23">
        <f>ROUNDUP((A181-Yleistiedot!$B$4)/7,0)</f>
        <v>43</v>
      </c>
      <c r="C181" s="16"/>
      <c r="D181" s="25"/>
      <c r="E181" s="25"/>
      <c r="F181" s="25"/>
      <c r="G181" s="25"/>
      <c r="H181" s="25"/>
      <c r="I181" s="65">
        <f t="shared" si="47"/>
        <v>0</v>
      </c>
      <c r="J181" s="26"/>
      <c r="K181" s="25"/>
      <c r="L181" s="16"/>
      <c r="M181" s="16"/>
      <c r="N181" s="25"/>
      <c r="O181" s="30"/>
      <c r="P181" s="252">
        <f t="shared" si="42"/>
        <v>9990</v>
      </c>
      <c r="Q181" s="253">
        <f t="shared" si="43"/>
        <v>0</v>
      </c>
      <c r="R181" s="253">
        <f t="shared" si="44"/>
        <v>0</v>
      </c>
      <c r="S181" s="251">
        <f>SUMIFS('tuot-rehukirjanpito'!D:D,'tuot-rehukirjanpito'!A:A,A181)</f>
        <v>0</v>
      </c>
      <c r="T181" s="254">
        <f t="shared" si="53"/>
        <v>1098.9000000000001</v>
      </c>
      <c r="U181" s="254">
        <f t="shared" si="59"/>
        <v>1098.8999999999999</v>
      </c>
      <c r="V181" s="252">
        <f t="shared" si="45"/>
        <v>-196703.09999999937</v>
      </c>
      <c r="W181" s="255">
        <f t="shared" si="56"/>
        <v>-178.9999999999994</v>
      </c>
      <c r="X181" s="256" t="str">
        <f t="shared" si="57"/>
        <v/>
      </c>
      <c r="Y181" s="256" t="str">
        <f t="shared" si="58"/>
        <v/>
      </c>
      <c r="Z181" s="224" t="str">
        <f>IF(IFERROR(INDEX('tuot-rehukirjanpito'!I:I,MATCH(A181,'tuot-rehukirjanpito'!G:G,0)),)=0,"",INDEX('tuot-rehukirjanpito'!I:I,MATCH(A181,'tuot-rehukirjanpito'!G:G,0)))</f>
        <v/>
      </c>
      <c r="AA181" s="224">
        <f>SUMIFS('tuot-INFO'!$K$10:$K$115,'tuot-INFO'!$A$10:$A$115,'tuot-PVÄ'!B181)</f>
        <v>63.4</v>
      </c>
      <c r="AB181" s="224">
        <f>SUMIFS('rehu-vesi-INFO'!$R:$R,'rehu-vesi-INFO'!$A:$A,'tuot-PVÄ'!B181)</f>
        <v>1685</v>
      </c>
      <c r="AC181" s="224">
        <f>SUMIFS('rehu-vesi-INFO'!$S:$S,'rehu-vesi-INFO'!$A:$A,'tuot-PVÄ'!B181)</f>
        <v>1790</v>
      </c>
      <c r="AD181" s="224">
        <f t="shared" si="48"/>
        <v>105</v>
      </c>
      <c r="AE181" s="224">
        <f t="shared" si="49"/>
        <v>0</v>
      </c>
      <c r="AF181" s="224">
        <f t="shared" si="50"/>
        <v>168.5</v>
      </c>
      <c r="AG181" s="224">
        <f t="shared" si="51"/>
        <v>10.5</v>
      </c>
      <c r="AH181" s="257">
        <f t="shared" si="54"/>
        <v>0</v>
      </c>
      <c r="AI181" s="258">
        <f t="shared" si="55"/>
        <v>0</v>
      </c>
      <c r="AJ181" s="55">
        <f>SUMIFS('tuot-INFO'!W:W,'tuot-INFO'!$A:$A,'tuot-PVÄ'!B181)</f>
        <v>88.35</v>
      </c>
      <c r="AK181" s="55">
        <f>SUMIFS('tuot-INFO'!X:X,'tuot-INFO'!$A:$A,'tuot-PVÄ'!B181)</f>
        <v>9.5</v>
      </c>
    </row>
    <row r="182" spans="1:37" x14ac:dyDescent="0.25">
      <c r="A182" s="169">
        <f t="shared" si="52"/>
        <v>42668</v>
      </c>
      <c r="B182" s="23">
        <f>ROUNDUP((A182-Yleistiedot!$B$4)/7,0)</f>
        <v>43</v>
      </c>
      <c r="C182" s="16"/>
      <c r="D182" s="25"/>
      <c r="E182" s="25"/>
      <c r="F182" s="25"/>
      <c r="G182" s="25"/>
      <c r="H182" s="25"/>
      <c r="I182" s="65">
        <f t="shared" si="47"/>
        <v>0</v>
      </c>
      <c r="J182" s="26"/>
      <c r="K182" s="25"/>
      <c r="L182" s="16"/>
      <c r="M182" s="16"/>
      <c r="N182" s="25"/>
      <c r="O182" s="30"/>
      <c r="P182" s="252">
        <f t="shared" si="42"/>
        <v>9990</v>
      </c>
      <c r="Q182" s="253">
        <f t="shared" si="43"/>
        <v>0</v>
      </c>
      <c r="R182" s="253">
        <f t="shared" si="44"/>
        <v>0</v>
      </c>
      <c r="S182" s="251">
        <f>SUMIFS('tuot-rehukirjanpito'!D:D,'tuot-rehukirjanpito'!A:A,A182)</f>
        <v>0</v>
      </c>
      <c r="T182" s="254">
        <f t="shared" si="53"/>
        <v>1098.9000000000001</v>
      </c>
      <c r="U182" s="254">
        <f t="shared" si="59"/>
        <v>1098.8999999999999</v>
      </c>
      <c r="V182" s="252">
        <f t="shared" si="45"/>
        <v>-197801.99999999936</v>
      </c>
      <c r="W182" s="255">
        <f t="shared" si="56"/>
        <v>-179.9999999999994</v>
      </c>
      <c r="X182" s="256" t="str">
        <f t="shared" si="57"/>
        <v/>
      </c>
      <c r="Y182" s="256" t="str">
        <f t="shared" si="58"/>
        <v/>
      </c>
      <c r="Z182" s="224" t="str">
        <f>IF(IFERROR(INDEX('tuot-rehukirjanpito'!I:I,MATCH(A182,'tuot-rehukirjanpito'!G:G,0)),)=0,"",INDEX('tuot-rehukirjanpito'!I:I,MATCH(A182,'tuot-rehukirjanpito'!G:G,0)))</f>
        <v/>
      </c>
      <c r="AA182" s="224">
        <f>SUMIFS('tuot-INFO'!$K$10:$K$115,'tuot-INFO'!$A$10:$A$115,'tuot-PVÄ'!B182)</f>
        <v>63.4</v>
      </c>
      <c r="AB182" s="224">
        <f>SUMIFS('rehu-vesi-INFO'!$R:$R,'rehu-vesi-INFO'!$A:$A,'tuot-PVÄ'!B182)</f>
        <v>1685</v>
      </c>
      <c r="AC182" s="224">
        <f>SUMIFS('rehu-vesi-INFO'!$S:$S,'rehu-vesi-INFO'!$A:$A,'tuot-PVÄ'!B182)</f>
        <v>1790</v>
      </c>
      <c r="AD182" s="224">
        <f t="shared" si="48"/>
        <v>105</v>
      </c>
      <c r="AE182" s="224">
        <f t="shared" si="49"/>
        <v>0</v>
      </c>
      <c r="AF182" s="224">
        <f t="shared" si="50"/>
        <v>168.5</v>
      </c>
      <c r="AG182" s="224">
        <f t="shared" si="51"/>
        <v>10.5</v>
      </c>
      <c r="AH182" s="257">
        <f t="shared" si="54"/>
        <v>0</v>
      </c>
      <c r="AI182" s="258">
        <f t="shared" si="55"/>
        <v>0</v>
      </c>
      <c r="AJ182" s="55">
        <f>SUMIFS('tuot-INFO'!W:W,'tuot-INFO'!$A:$A,'tuot-PVÄ'!B182)</f>
        <v>88.35</v>
      </c>
      <c r="AK182" s="55">
        <f>SUMIFS('tuot-INFO'!X:X,'tuot-INFO'!$A:$A,'tuot-PVÄ'!B182)</f>
        <v>9.5</v>
      </c>
    </row>
    <row r="183" spans="1:37" x14ac:dyDescent="0.25">
      <c r="A183" s="169">
        <f t="shared" si="52"/>
        <v>42669</v>
      </c>
      <c r="B183" s="23">
        <f>ROUNDUP((A183-Yleistiedot!$B$4)/7,0)</f>
        <v>43</v>
      </c>
      <c r="C183" s="16"/>
      <c r="D183" s="25"/>
      <c r="E183" s="25"/>
      <c r="F183" s="25"/>
      <c r="G183" s="25"/>
      <c r="H183" s="25"/>
      <c r="I183" s="65">
        <f t="shared" si="47"/>
        <v>0</v>
      </c>
      <c r="J183" s="26"/>
      <c r="K183" s="25"/>
      <c r="L183" s="16"/>
      <c r="M183" s="16"/>
      <c r="N183" s="25"/>
      <c r="O183" s="30"/>
      <c r="P183" s="252">
        <f t="shared" si="42"/>
        <v>9990</v>
      </c>
      <c r="Q183" s="253">
        <f t="shared" si="43"/>
        <v>0</v>
      </c>
      <c r="R183" s="253">
        <f t="shared" si="44"/>
        <v>0</v>
      </c>
      <c r="S183" s="251">
        <f>SUMIFS('tuot-rehukirjanpito'!D:D,'tuot-rehukirjanpito'!A:A,A183)</f>
        <v>0</v>
      </c>
      <c r="T183" s="254">
        <f t="shared" si="53"/>
        <v>1098.9000000000001</v>
      </c>
      <c r="U183" s="254">
        <f t="shared" si="59"/>
        <v>1098.8999999999999</v>
      </c>
      <c r="V183" s="252">
        <f t="shared" si="45"/>
        <v>-198900.89999999935</v>
      </c>
      <c r="W183" s="255">
        <f t="shared" si="56"/>
        <v>-180.9999999999994</v>
      </c>
      <c r="X183" s="256" t="str">
        <f t="shared" si="57"/>
        <v/>
      </c>
      <c r="Y183" s="256" t="str">
        <f t="shared" si="58"/>
        <v/>
      </c>
      <c r="Z183" s="224" t="str">
        <f>IF(IFERROR(INDEX('tuot-rehukirjanpito'!I:I,MATCH(A183,'tuot-rehukirjanpito'!G:G,0)),)=0,"",INDEX('tuot-rehukirjanpito'!I:I,MATCH(A183,'tuot-rehukirjanpito'!G:G,0)))</f>
        <v/>
      </c>
      <c r="AA183" s="224">
        <f>SUMIFS('tuot-INFO'!$K$10:$K$115,'tuot-INFO'!$A$10:$A$115,'tuot-PVÄ'!B183)</f>
        <v>63.4</v>
      </c>
      <c r="AB183" s="224">
        <f>SUMIFS('rehu-vesi-INFO'!$R:$R,'rehu-vesi-INFO'!$A:$A,'tuot-PVÄ'!B183)</f>
        <v>1685</v>
      </c>
      <c r="AC183" s="224">
        <f>SUMIFS('rehu-vesi-INFO'!$S:$S,'rehu-vesi-INFO'!$A:$A,'tuot-PVÄ'!B183)</f>
        <v>1790</v>
      </c>
      <c r="AD183" s="224">
        <f t="shared" si="48"/>
        <v>105</v>
      </c>
      <c r="AE183" s="224">
        <f t="shared" si="49"/>
        <v>0</v>
      </c>
      <c r="AF183" s="224">
        <f t="shared" si="50"/>
        <v>168.5</v>
      </c>
      <c r="AG183" s="224">
        <f t="shared" si="51"/>
        <v>10.5</v>
      </c>
      <c r="AH183" s="257">
        <f t="shared" si="54"/>
        <v>0</v>
      </c>
      <c r="AI183" s="258">
        <f t="shared" si="55"/>
        <v>0</v>
      </c>
      <c r="AJ183" s="55">
        <f>SUMIFS('tuot-INFO'!W:W,'tuot-INFO'!$A:$A,'tuot-PVÄ'!B183)</f>
        <v>88.35</v>
      </c>
      <c r="AK183" s="55">
        <f>SUMIFS('tuot-INFO'!X:X,'tuot-INFO'!$A:$A,'tuot-PVÄ'!B183)</f>
        <v>9.5</v>
      </c>
    </row>
    <row r="184" spans="1:37" x14ac:dyDescent="0.25">
      <c r="A184" s="169">
        <f t="shared" si="52"/>
        <v>42670</v>
      </c>
      <c r="B184" s="23">
        <f>ROUNDUP((A184-Yleistiedot!$B$4)/7,0)</f>
        <v>43</v>
      </c>
      <c r="C184" s="16"/>
      <c r="D184" s="25"/>
      <c r="E184" s="25"/>
      <c r="F184" s="25"/>
      <c r="G184" s="25"/>
      <c r="H184" s="25"/>
      <c r="I184" s="65">
        <f t="shared" si="47"/>
        <v>0</v>
      </c>
      <c r="J184" s="26"/>
      <c r="K184" s="25"/>
      <c r="L184" s="16"/>
      <c r="M184" s="16"/>
      <c r="N184" s="25"/>
      <c r="O184" s="30"/>
      <c r="P184" s="252">
        <f t="shared" ref="P184:P210" si="60">P183-C184</f>
        <v>9990</v>
      </c>
      <c r="Q184" s="253">
        <f t="shared" ref="Q184:Q210" si="61">D184/P184*100</f>
        <v>0</v>
      </c>
      <c r="R184" s="253">
        <f t="shared" ref="R184:R210" si="62">I184/P184*100</f>
        <v>0</v>
      </c>
      <c r="S184" s="251">
        <f>SUMIFS('tuot-rehukirjanpito'!D:D,'tuot-rehukirjanpito'!A:A,A184)</f>
        <v>0</v>
      </c>
      <c r="T184" s="254">
        <f t="shared" si="53"/>
        <v>1098.9000000000001</v>
      </c>
      <c r="U184" s="254">
        <f t="shared" si="59"/>
        <v>1098.8999999999999</v>
      </c>
      <c r="V184" s="252">
        <f t="shared" ref="V184:V199" si="63">V183+S184-T184</f>
        <v>-199999.79999999935</v>
      </c>
      <c r="W184" s="255">
        <f t="shared" si="56"/>
        <v>-181.9999999999994</v>
      </c>
      <c r="X184" s="256" t="str">
        <f t="shared" si="57"/>
        <v/>
      </c>
      <c r="Y184" s="256" t="str">
        <f t="shared" si="58"/>
        <v/>
      </c>
      <c r="Z184" s="224" t="str">
        <f>IF(IFERROR(INDEX('tuot-rehukirjanpito'!I:I,MATCH(A184,'tuot-rehukirjanpito'!G:G,0)),)=0,"",INDEX('tuot-rehukirjanpito'!I:I,MATCH(A184,'tuot-rehukirjanpito'!G:G,0)))</f>
        <v/>
      </c>
      <c r="AA184" s="224">
        <f>SUMIFS('tuot-INFO'!$K$10:$K$115,'tuot-INFO'!$A$10:$A$115,'tuot-PVÄ'!B184)</f>
        <v>63.4</v>
      </c>
      <c r="AB184" s="224">
        <f>SUMIFS('rehu-vesi-INFO'!$R:$R,'rehu-vesi-INFO'!$A:$A,'tuot-PVÄ'!B184)</f>
        <v>1685</v>
      </c>
      <c r="AC184" s="224">
        <f>SUMIFS('rehu-vesi-INFO'!$S:$S,'rehu-vesi-INFO'!$A:$A,'tuot-PVÄ'!B184)</f>
        <v>1790</v>
      </c>
      <c r="AD184" s="224">
        <f t="shared" si="48"/>
        <v>105</v>
      </c>
      <c r="AE184" s="224">
        <f t="shared" si="49"/>
        <v>0</v>
      </c>
      <c r="AF184" s="224">
        <f t="shared" si="50"/>
        <v>168.5</v>
      </c>
      <c r="AG184" s="224">
        <f t="shared" si="51"/>
        <v>10.5</v>
      </c>
      <c r="AH184" s="257">
        <f t="shared" si="54"/>
        <v>0</v>
      </c>
      <c r="AI184" s="258">
        <f t="shared" si="55"/>
        <v>0</v>
      </c>
      <c r="AJ184" s="55">
        <f>SUMIFS('tuot-INFO'!W:W,'tuot-INFO'!$A:$A,'tuot-PVÄ'!B184)</f>
        <v>88.35</v>
      </c>
      <c r="AK184" s="55">
        <f>SUMIFS('tuot-INFO'!X:X,'tuot-INFO'!$A:$A,'tuot-PVÄ'!B184)</f>
        <v>9.5</v>
      </c>
    </row>
    <row r="185" spans="1:37" x14ac:dyDescent="0.25">
      <c r="A185" s="169">
        <f t="shared" si="52"/>
        <v>42671</v>
      </c>
      <c r="B185" s="23">
        <f>ROUNDUP((A185-Yleistiedot!$B$4)/7,0)</f>
        <v>43</v>
      </c>
      <c r="C185" s="16"/>
      <c r="D185" s="25"/>
      <c r="E185" s="25"/>
      <c r="F185" s="25"/>
      <c r="G185" s="25"/>
      <c r="H185" s="25"/>
      <c r="I185" s="65">
        <f t="shared" si="47"/>
        <v>0</v>
      </c>
      <c r="J185" s="26"/>
      <c r="K185" s="25"/>
      <c r="L185" s="16"/>
      <c r="M185" s="16"/>
      <c r="N185" s="25"/>
      <c r="O185" s="30"/>
      <c r="P185" s="252">
        <f t="shared" si="60"/>
        <v>9990</v>
      </c>
      <c r="Q185" s="253">
        <f t="shared" si="61"/>
        <v>0</v>
      </c>
      <c r="R185" s="253">
        <f t="shared" si="62"/>
        <v>0</v>
      </c>
      <c r="S185" s="251">
        <f>SUMIFS('tuot-rehukirjanpito'!D:D,'tuot-rehukirjanpito'!A:A,A185)</f>
        <v>0</v>
      </c>
      <c r="T185" s="254">
        <f t="shared" si="53"/>
        <v>1098.9000000000001</v>
      </c>
      <c r="U185" s="254">
        <f t="shared" si="59"/>
        <v>1098.8999999999999</v>
      </c>
      <c r="V185" s="252">
        <f t="shared" si="63"/>
        <v>-201098.69999999934</v>
      </c>
      <c r="W185" s="255">
        <f t="shared" si="56"/>
        <v>-182.99999999999937</v>
      </c>
      <c r="X185" s="256" t="str">
        <f t="shared" si="57"/>
        <v/>
      </c>
      <c r="Y185" s="256" t="str">
        <f t="shared" si="58"/>
        <v/>
      </c>
      <c r="Z185" s="224" t="str">
        <f>IF(IFERROR(INDEX('tuot-rehukirjanpito'!I:I,MATCH(A185,'tuot-rehukirjanpito'!G:G,0)),)=0,"",INDEX('tuot-rehukirjanpito'!I:I,MATCH(A185,'tuot-rehukirjanpito'!G:G,0)))</f>
        <v/>
      </c>
      <c r="AA185" s="224">
        <f>SUMIFS('tuot-INFO'!$K$10:$K$115,'tuot-INFO'!$A$10:$A$115,'tuot-PVÄ'!B185)</f>
        <v>63.4</v>
      </c>
      <c r="AB185" s="224">
        <f>SUMIFS('rehu-vesi-INFO'!$R:$R,'rehu-vesi-INFO'!$A:$A,'tuot-PVÄ'!B185)</f>
        <v>1685</v>
      </c>
      <c r="AC185" s="224">
        <f>SUMIFS('rehu-vesi-INFO'!$S:$S,'rehu-vesi-INFO'!$A:$A,'tuot-PVÄ'!B185)</f>
        <v>1790</v>
      </c>
      <c r="AD185" s="224">
        <f t="shared" si="48"/>
        <v>105</v>
      </c>
      <c r="AE185" s="224">
        <f t="shared" si="49"/>
        <v>0</v>
      </c>
      <c r="AF185" s="224">
        <f t="shared" si="50"/>
        <v>168.5</v>
      </c>
      <c r="AG185" s="224">
        <f t="shared" si="51"/>
        <v>10.5</v>
      </c>
      <c r="AH185" s="257">
        <f t="shared" si="54"/>
        <v>0</v>
      </c>
      <c r="AI185" s="258">
        <f t="shared" si="55"/>
        <v>0</v>
      </c>
      <c r="AJ185" s="55">
        <f>SUMIFS('tuot-INFO'!W:W,'tuot-INFO'!$A:$A,'tuot-PVÄ'!B185)</f>
        <v>88.35</v>
      </c>
      <c r="AK185" s="55">
        <f>SUMIFS('tuot-INFO'!X:X,'tuot-INFO'!$A:$A,'tuot-PVÄ'!B185)</f>
        <v>9.5</v>
      </c>
    </row>
    <row r="186" spans="1:37" x14ac:dyDescent="0.25">
      <c r="A186" s="169">
        <f t="shared" si="52"/>
        <v>42672</v>
      </c>
      <c r="B186" s="23">
        <f>ROUNDUP((A186-Yleistiedot!$B$4)/7,0)</f>
        <v>44</v>
      </c>
      <c r="C186" s="16"/>
      <c r="D186" s="25"/>
      <c r="E186" s="25"/>
      <c r="F186" s="25"/>
      <c r="G186" s="25"/>
      <c r="H186" s="25"/>
      <c r="I186" s="65">
        <f t="shared" si="47"/>
        <v>0</v>
      </c>
      <c r="J186" s="26"/>
      <c r="K186" s="25"/>
      <c r="L186" s="16"/>
      <c r="M186" s="16"/>
      <c r="N186" s="25"/>
      <c r="O186" s="30"/>
      <c r="P186" s="252">
        <f t="shared" si="60"/>
        <v>9990</v>
      </c>
      <c r="Q186" s="253">
        <f t="shared" si="61"/>
        <v>0</v>
      </c>
      <c r="R186" s="253">
        <f t="shared" si="62"/>
        <v>0</v>
      </c>
      <c r="S186" s="251">
        <f>SUMIFS('tuot-rehukirjanpito'!D:D,'tuot-rehukirjanpito'!A:A,A186)</f>
        <v>0</v>
      </c>
      <c r="T186" s="254">
        <f t="shared" si="53"/>
        <v>1098.9000000000001</v>
      </c>
      <c r="U186" s="254">
        <f t="shared" si="59"/>
        <v>1098.8999999999999</v>
      </c>
      <c r="V186" s="252">
        <f t="shared" si="63"/>
        <v>-202197.59999999934</v>
      </c>
      <c r="W186" s="255">
        <f t="shared" si="56"/>
        <v>-183.99999999999937</v>
      </c>
      <c r="X186" s="256" t="str">
        <f t="shared" si="57"/>
        <v/>
      </c>
      <c r="Y186" s="256" t="str">
        <f t="shared" si="58"/>
        <v/>
      </c>
      <c r="Z186" s="224" t="str">
        <f>IF(IFERROR(INDEX('tuot-rehukirjanpito'!I:I,MATCH(A186,'tuot-rehukirjanpito'!G:G,0)),)=0,"",INDEX('tuot-rehukirjanpito'!I:I,MATCH(A186,'tuot-rehukirjanpito'!G:G,0)))</f>
        <v/>
      </c>
      <c r="AA186" s="224">
        <f>SUMIFS('tuot-INFO'!$K$10:$K$115,'tuot-INFO'!$A$10:$A$115,'tuot-PVÄ'!B186)</f>
        <v>63.6</v>
      </c>
      <c r="AB186" s="224">
        <f>SUMIFS('rehu-vesi-INFO'!$R:$R,'rehu-vesi-INFO'!$A:$A,'tuot-PVÄ'!B186)</f>
        <v>1688</v>
      </c>
      <c r="AC186" s="224">
        <f>SUMIFS('rehu-vesi-INFO'!$S:$S,'rehu-vesi-INFO'!$A:$A,'tuot-PVÄ'!B186)</f>
        <v>1792</v>
      </c>
      <c r="AD186" s="224">
        <f t="shared" si="48"/>
        <v>104</v>
      </c>
      <c r="AE186" s="224">
        <f t="shared" si="49"/>
        <v>0</v>
      </c>
      <c r="AF186" s="224">
        <f t="shared" si="50"/>
        <v>168.8</v>
      </c>
      <c r="AG186" s="224">
        <f t="shared" si="51"/>
        <v>10.4</v>
      </c>
      <c r="AH186" s="257">
        <f t="shared" si="54"/>
        <v>0</v>
      </c>
      <c r="AI186" s="258">
        <f t="shared" si="55"/>
        <v>0</v>
      </c>
      <c r="AJ186" s="55">
        <f>SUMIFS('tuot-INFO'!W:W,'tuot-INFO'!$A:$A,'tuot-PVÄ'!B186)</f>
        <v>88.164000000000001</v>
      </c>
      <c r="AK186" s="55">
        <f>SUMIFS('tuot-INFO'!X:X,'tuot-INFO'!$A:$A,'tuot-PVÄ'!B186)</f>
        <v>9.4799999999999898</v>
      </c>
    </row>
    <row r="187" spans="1:37" x14ac:dyDescent="0.25">
      <c r="A187" s="169">
        <f t="shared" si="52"/>
        <v>42673</v>
      </c>
      <c r="B187" s="23">
        <f>ROUNDUP((A187-Yleistiedot!$B$4)/7,0)</f>
        <v>44</v>
      </c>
      <c r="C187" s="16"/>
      <c r="D187" s="25"/>
      <c r="E187" s="25"/>
      <c r="F187" s="25"/>
      <c r="G187" s="25"/>
      <c r="H187" s="25"/>
      <c r="I187" s="65">
        <f t="shared" si="47"/>
        <v>0</v>
      </c>
      <c r="J187" s="26"/>
      <c r="K187" s="25"/>
      <c r="L187" s="16"/>
      <c r="M187" s="16"/>
      <c r="N187" s="25"/>
      <c r="O187" s="30"/>
      <c r="P187" s="252">
        <f t="shared" si="60"/>
        <v>9990</v>
      </c>
      <c r="Q187" s="253">
        <f t="shared" si="61"/>
        <v>0</v>
      </c>
      <c r="R187" s="253">
        <f t="shared" si="62"/>
        <v>0</v>
      </c>
      <c r="S187" s="251">
        <f>SUMIFS('tuot-rehukirjanpito'!D:D,'tuot-rehukirjanpito'!A:A,A187)</f>
        <v>0</v>
      </c>
      <c r="T187" s="254">
        <f t="shared" si="53"/>
        <v>1098.9000000000001</v>
      </c>
      <c r="U187" s="254">
        <f t="shared" si="59"/>
        <v>1098.8999999999999</v>
      </c>
      <c r="V187" s="252">
        <f t="shared" si="63"/>
        <v>-203296.49999999933</v>
      </c>
      <c r="W187" s="255">
        <f t="shared" si="56"/>
        <v>-184.99999999999937</v>
      </c>
      <c r="X187" s="256" t="str">
        <f t="shared" si="57"/>
        <v/>
      </c>
      <c r="Y187" s="256" t="str">
        <f t="shared" si="58"/>
        <v/>
      </c>
      <c r="Z187" s="224" t="str">
        <f>IF(IFERROR(INDEX('tuot-rehukirjanpito'!I:I,MATCH(A187,'tuot-rehukirjanpito'!G:G,0)),)=0,"",INDEX('tuot-rehukirjanpito'!I:I,MATCH(A187,'tuot-rehukirjanpito'!G:G,0)))</f>
        <v/>
      </c>
      <c r="AA187" s="224">
        <f>SUMIFS('tuot-INFO'!$K$10:$K$115,'tuot-INFO'!$A$10:$A$115,'tuot-PVÄ'!B187)</f>
        <v>63.6</v>
      </c>
      <c r="AB187" s="224">
        <f>SUMIFS('rehu-vesi-INFO'!$R:$R,'rehu-vesi-INFO'!$A:$A,'tuot-PVÄ'!B187)</f>
        <v>1688</v>
      </c>
      <c r="AC187" s="224">
        <f>SUMIFS('rehu-vesi-INFO'!$S:$S,'rehu-vesi-INFO'!$A:$A,'tuot-PVÄ'!B187)</f>
        <v>1792</v>
      </c>
      <c r="AD187" s="224">
        <f t="shared" si="48"/>
        <v>104</v>
      </c>
      <c r="AE187" s="224">
        <f t="shared" si="49"/>
        <v>0</v>
      </c>
      <c r="AF187" s="224">
        <f t="shared" si="50"/>
        <v>168.8</v>
      </c>
      <c r="AG187" s="224">
        <f t="shared" si="51"/>
        <v>10.4</v>
      </c>
      <c r="AH187" s="257">
        <f t="shared" si="54"/>
        <v>0</v>
      </c>
      <c r="AI187" s="258">
        <f t="shared" si="55"/>
        <v>0</v>
      </c>
      <c r="AJ187" s="55">
        <f>SUMIFS('tuot-INFO'!W:W,'tuot-INFO'!$A:$A,'tuot-PVÄ'!B187)</f>
        <v>88.164000000000001</v>
      </c>
      <c r="AK187" s="55">
        <f>SUMIFS('tuot-INFO'!X:X,'tuot-INFO'!$A:$A,'tuot-PVÄ'!B187)</f>
        <v>9.4799999999999898</v>
      </c>
    </row>
    <row r="188" spans="1:37" x14ac:dyDescent="0.25">
      <c r="A188" s="169">
        <f t="shared" si="52"/>
        <v>42674</v>
      </c>
      <c r="B188" s="23">
        <f>ROUNDUP((A188-Yleistiedot!$B$4)/7,0)</f>
        <v>44</v>
      </c>
      <c r="C188" s="16"/>
      <c r="D188" s="25"/>
      <c r="E188" s="25"/>
      <c r="F188" s="25"/>
      <c r="G188" s="25"/>
      <c r="H188" s="25"/>
      <c r="I188" s="65">
        <f t="shared" si="47"/>
        <v>0</v>
      </c>
      <c r="J188" s="26"/>
      <c r="K188" s="25"/>
      <c r="L188" s="16"/>
      <c r="M188" s="16"/>
      <c r="N188" s="25"/>
      <c r="O188" s="30"/>
      <c r="P188" s="252">
        <f t="shared" si="60"/>
        <v>9990</v>
      </c>
      <c r="Q188" s="253">
        <f t="shared" si="61"/>
        <v>0</v>
      </c>
      <c r="R188" s="253">
        <f t="shared" si="62"/>
        <v>0</v>
      </c>
      <c r="S188" s="251">
        <f>SUMIFS('tuot-rehukirjanpito'!D:D,'tuot-rehukirjanpito'!A:A,A188)</f>
        <v>0</v>
      </c>
      <c r="T188" s="254">
        <f t="shared" si="53"/>
        <v>1098.9000000000001</v>
      </c>
      <c r="U188" s="254">
        <f t="shared" si="59"/>
        <v>1098.8999999999999</v>
      </c>
      <c r="V188" s="252">
        <f t="shared" si="63"/>
        <v>-204395.39999999932</v>
      </c>
      <c r="W188" s="255">
        <f t="shared" si="56"/>
        <v>-185.99999999999937</v>
      </c>
      <c r="X188" s="256" t="str">
        <f t="shared" si="57"/>
        <v/>
      </c>
      <c r="Y188" s="256" t="str">
        <f t="shared" si="58"/>
        <v/>
      </c>
      <c r="Z188" s="224" t="str">
        <f>IF(IFERROR(INDEX('tuot-rehukirjanpito'!I:I,MATCH(A188,'tuot-rehukirjanpito'!G:G,0)),)=0,"",INDEX('tuot-rehukirjanpito'!I:I,MATCH(A188,'tuot-rehukirjanpito'!G:G,0)))</f>
        <v/>
      </c>
      <c r="AA188" s="224">
        <f>SUMIFS('tuot-INFO'!$K$10:$K$115,'tuot-INFO'!$A$10:$A$115,'tuot-PVÄ'!B188)</f>
        <v>63.6</v>
      </c>
      <c r="AB188" s="224">
        <f>SUMIFS('rehu-vesi-INFO'!$R:$R,'rehu-vesi-INFO'!$A:$A,'tuot-PVÄ'!B188)</f>
        <v>1688</v>
      </c>
      <c r="AC188" s="224">
        <f>SUMIFS('rehu-vesi-INFO'!$S:$S,'rehu-vesi-INFO'!$A:$A,'tuot-PVÄ'!B188)</f>
        <v>1792</v>
      </c>
      <c r="AD188" s="224">
        <f t="shared" si="48"/>
        <v>104</v>
      </c>
      <c r="AE188" s="224">
        <f t="shared" si="49"/>
        <v>0</v>
      </c>
      <c r="AF188" s="224">
        <f t="shared" si="50"/>
        <v>168.8</v>
      </c>
      <c r="AG188" s="224">
        <f t="shared" si="51"/>
        <v>10.4</v>
      </c>
      <c r="AH188" s="257">
        <f t="shared" si="54"/>
        <v>0</v>
      </c>
      <c r="AI188" s="258">
        <f t="shared" si="55"/>
        <v>0</v>
      </c>
      <c r="AJ188" s="55">
        <f>SUMIFS('tuot-INFO'!W:W,'tuot-INFO'!$A:$A,'tuot-PVÄ'!B188)</f>
        <v>88.164000000000001</v>
      </c>
      <c r="AK188" s="55">
        <f>SUMIFS('tuot-INFO'!X:X,'tuot-INFO'!$A:$A,'tuot-PVÄ'!B188)</f>
        <v>9.4799999999999898</v>
      </c>
    </row>
    <row r="189" spans="1:37" x14ac:dyDescent="0.25">
      <c r="A189" s="169">
        <f t="shared" si="52"/>
        <v>42675</v>
      </c>
      <c r="B189" s="23">
        <f>ROUNDUP((A189-Yleistiedot!$B$4)/7,0)</f>
        <v>44</v>
      </c>
      <c r="C189" s="16"/>
      <c r="D189" s="25"/>
      <c r="E189" s="25"/>
      <c r="F189" s="25"/>
      <c r="G189" s="25"/>
      <c r="H189" s="25"/>
      <c r="I189" s="65">
        <f t="shared" si="47"/>
        <v>0</v>
      </c>
      <c r="J189" s="26"/>
      <c r="K189" s="25"/>
      <c r="L189" s="16"/>
      <c r="M189" s="16"/>
      <c r="N189" s="25"/>
      <c r="O189" s="30"/>
      <c r="P189" s="252">
        <f t="shared" si="60"/>
        <v>9990</v>
      </c>
      <c r="Q189" s="253">
        <f t="shared" si="61"/>
        <v>0</v>
      </c>
      <c r="R189" s="253">
        <f t="shared" si="62"/>
        <v>0</v>
      </c>
      <c r="S189" s="251">
        <f>SUMIFS('tuot-rehukirjanpito'!D:D,'tuot-rehukirjanpito'!A:A,A189)</f>
        <v>0</v>
      </c>
      <c r="T189" s="254">
        <f t="shared" si="53"/>
        <v>1098.9000000000001</v>
      </c>
      <c r="U189" s="254">
        <f t="shared" si="59"/>
        <v>1098.8999999999999</v>
      </c>
      <c r="V189" s="252">
        <f t="shared" si="63"/>
        <v>-205494.29999999932</v>
      </c>
      <c r="W189" s="255">
        <f t="shared" si="56"/>
        <v>-186.99999999999937</v>
      </c>
      <c r="X189" s="256" t="str">
        <f t="shared" si="57"/>
        <v/>
      </c>
      <c r="Y189" s="256" t="str">
        <f t="shared" si="58"/>
        <v/>
      </c>
      <c r="Z189" s="224" t="str">
        <f>IF(IFERROR(INDEX('tuot-rehukirjanpito'!I:I,MATCH(A189,'tuot-rehukirjanpito'!G:G,0)),)=0,"",INDEX('tuot-rehukirjanpito'!I:I,MATCH(A189,'tuot-rehukirjanpito'!G:G,0)))</f>
        <v/>
      </c>
      <c r="AA189" s="224">
        <f>SUMIFS('tuot-INFO'!$K$10:$K$115,'tuot-INFO'!$A$10:$A$115,'tuot-PVÄ'!B189)</f>
        <v>63.6</v>
      </c>
      <c r="AB189" s="224">
        <f>SUMIFS('rehu-vesi-INFO'!$R:$R,'rehu-vesi-INFO'!$A:$A,'tuot-PVÄ'!B189)</f>
        <v>1688</v>
      </c>
      <c r="AC189" s="224">
        <f>SUMIFS('rehu-vesi-INFO'!$S:$S,'rehu-vesi-INFO'!$A:$A,'tuot-PVÄ'!B189)</f>
        <v>1792</v>
      </c>
      <c r="AD189" s="224">
        <f t="shared" si="48"/>
        <v>104</v>
      </c>
      <c r="AE189" s="224">
        <f t="shared" si="49"/>
        <v>0</v>
      </c>
      <c r="AF189" s="224">
        <f t="shared" si="50"/>
        <v>168.8</v>
      </c>
      <c r="AG189" s="224">
        <f t="shared" si="51"/>
        <v>10.4</v>
      </c>
      <c r="AH189" s="257">
        <f t="shared" si="54"/>
        <v>0</v>
      </c>
      <c r="AI189" s="258">
        <f t="shared" si="55"/>
        <v>0</v>
      </c>
      <c r="AJ189" s="55">
        <f>SUMIFS('tuot-INFO'!W:W,'tuot-INFO'!$A:$A,'tuot-PVÄ'!B189)</f>
        <v>88.164000000000001</v>
      </c>
      <c r="AK189" s="55">
        <f>SUMIFS('tuot-INFO'!X:X,'tuot-INFO'!$A:$A,'tuot-PVÄ'!B189)</f>
        <v>9.4799999999999898</v>
      </c>
    </row>
    <row r="190" spans="1:37" x14ac:dyDescent="0.25">
      <c r="A190" s="169">
        <f t="shared" si="52"/>
        <v>42676</v>
      </c>
      <c r="B190" s="23">
        <f>ROUNDUP((A190-Yleistiedot!$B$4)/7,0)</f>
        <v>44</v>
      </c>
      <c r="C190" s="16"/>
      <c r="D190" s="25"/>
      <c r="E190" s="25"/>
      <c r="F190" s="25"/>
      <c r="G190" s="25"/>
      <c r="H190" s="25"/>
      <c r="I190" s="65">
        <f t="shared" si="47"/>
        <v>0</v>
      </c>
      <c r="J190" s="26"/>
      <c r="K190" s="25"/>
      <c r="L190" s="16"/>
      <c r="M190" s="16"/>
      <c r="N190" s="25"/>
      <c r="O190" s="30"/>
      <c r="P190" s="252">
        <f t="shared" si="60"/>
        <v>9990</v>
      </c>
      <c r="Q190" s="253">
        <f t="shared" si="61"/>
        <v>0</v>
      </c>
      <c r="R190" s="253">
        <f t="shared" si="62"/>
        <v>0</v>
      </c>
      <c r="S190" s="251">
        <f>SUMIFS('tuot-rehukirjanpito'!D:D,'tuot-rehukirjanpito'!A:A,A190)</f>
        <v>0</v>
      </c>
      <c r="T190" s="254">
        <f t="shared" si="53"/>
        <v>1098.9000000000001</v>
      </c>
      <c r="U190" s="254">
        <f t="shared" si="59"/>
        <v>1098.8999999999999</v>
      </c>
      <c r="V190" s="252">
        <f t="shared" si="63"/>
        <v>-206593.19999999931</v>
      </c>
      <c r="W190" s="255">
        <f t="shared" si="56"/>
        <v>-187.99999999999935</v>
      </c>
      <c r="X190" s="256" t="str">
        <f t="shared" si="57"/>
        <v/>
      </c>
      <c r="Y190" s="256" t="str">
        <f t="shared" si="58"/>
        <v/>
      </c>
      <c r="Z190" s="224" t="str">
        <f>IF(IFERROR(INDEX('tuot-rehukirjanpito'!I:I,MATCH(A190,'tuot-rehukirjanpito'!G:G,0)),)=0,"",INDEX('tuot-rehukirjanpito'!I:I,MATCH(A190,'tuot-rehukirjanpito'!G:G,0)))</f>
        <v/>
      </c>
      <c r="AA190" s="224">
        <f>SUMIFS('tuot-INFO'!$K$10:$K$115,'tuot-INFO'!$A$10:$A$115,'tuot-PVÄ'!B190)</f>
        <v>63.6</v>
      </c>
      <c r="AB190" s="224">
        <f>SUMIFS('rehu-vesi-INFO'!$R:$R,'rehu-vesi-INFO'!$A:$A,'tuot-PVÄ'!B190)</f>
        <v>1688</v>
      </c>
      <c r="AC190" s="224">
        <f>SUMIFS('rehu-vesi-INFO'!$S:$S,'rehu-vesi-INFO'!$A:$A,'tuot-PVÄ'!B190)</f>
        <v>1792</v>
      </c>
      <c r="AD190" s="224">
        <f t="shared" si="48"/>
        <v>104</v>
      </c>
      <c r="AE190" s="224">
        <f t="shared" si="49"/>
        <v>0</v>
      </c>
      <c r="AF190" s="224">
        <f t="shared" si="50"/>
        <v>168.8</v>
      </c>
      <c r="AG190" s="224">
        <f t="shared" si="51"/>
        <v>10.4</v>
      </c>
      <c r="AH190" s="257">
        <f t="shared" si="54"/>
        <v>0</v>
      </c>
      <c r="AI190" s="258">
        <f t="shared" si="55"/>
        <v>0</v>
      </c>
      <c r="AJ190" s="55">
        <f>SUMIFS('tuot-INFO'!W:W,'tuot-INFO'!$A:$A,'tuot-PVÄ'!B190)</f>
        <v>88.164000000000001</v>
      </c>
      <c r="AK190" s="55">
        <f>SUMIFS('tuot-INFO'!X:X,'tuot-INFO'!$A:$A,'tuot-PVÄ'!B190)</f>
        <v>9.4799999999999898</v>
      </c>
    </row>
    <row r="191" spans="1:37" x14ac:dyDescent="0.25">
      <c r="A191" s="169">
        <f t="shared" si="52"/>
        <v>42677</v>
      </c>
      <c r="B191" s="23">
        <f>ROUNDUP((A191-Yleistiedot!$B$4)/7,0)</f>
        <v>44</v>
      </c>
      <c r="C191" s="16"/>
      <c r="D191" s="25"/>
      <c r="E191" s="25"/>
      <c r="F191" s="25"/>
      <c r="G191" s="25"/>
      <c r="H191" s="25"/>
      <c r="I191" s="65">
        <f t="shared" si="47"/>
        <v>0</v>
      </c>
      <c r="J191" s="26"/>
      <c r="K191" s="25"/>
      <c r="L191" s="16"/>
      <c r="M191" s="16"/>
      <c r="N191" s="25"/>
      <c r="O191" s="30"/>
      <c r="P191" s="252">
        <f t="shared" si="60"/>
        <v>9990</v>
      </c>
      <c r="Q191" s="253">
        <f t="shared" si="61"/>
        <v>0</v>
      </c>
      <c r="R191" s="253">
        <f t="shared" si="62"/>
        <v>0</v>
      </c>
      <c r="S191" s="251">
        <f>SUMIFS('tuot-rehukirjanpito'!D:D,'tuot-rehukirjanpito'!A:A,A191)</f>
        <v>0</v>
      </c>
      <c r="T191" s="254">
        <f t="shared" si="53"/>
        <v>1098.9000000000001</v>
      </c>
      <c r="U191" s="254">
        <f t="shared" si="59"/>
        <v>1098.8999999999999</v>
      </c>
      <c r="V191" s="252">
        <f t="shared" si="63"/>
        <v>-207692.09999999931</v>
      </c>
      <c r="W191" s="255">
        <f t="shared" si="56"/>
        <v>-188.99999999999935</v>
      </c>
      <c r="X191" s="256" t="str">
        <f t="shared" si="57"/>
        <v/>
      </c>
      <c r="Y191" s="256" t="str">
        <f t="shared" si="58"/>
        <v/>
      </c>
      <c r="Z191" s="224" t="str">
        <f>IF(IFERROR(INDEX('tuot-rehukirjanpito'!I:I,MATCH(A191,'tuot-rehukirjanpito'!G:G,0)),)=0,"",INDEX('tuot-rehukirjanpito'!I:I,MATCH(A191,'tuot-rehukirjanpito'!G:G,0)))</f>
        <v/>
      </c>
      <c r="AA191" s="224">
        <f>SUMIFS('tuot-INFO'!$K$10:$K$115,'tuot-INFO'!$A$10:$A$115,'tuot-PVÄ'!B191)</f>
        <v>63.6</v>
      </c>
      <c r="AB191" s="224">
        <f>SUMIFS('rehu-vesi-INFO'!$R:$R,'rehu-vesi-INFO'!$A:$A,'tuot-PVÄ'!B191)</f>
        <v>1688</v>
      </c>
      <c r="AC191" s="224">
        <f>SUMIFS('rehu-vesi-INFO'!$S:$S,'rehu-vesi-INFO'!$A:$A,'tuot-PVÄ'!B191)</f>
        <v>1792</v>
      </c>
      <c r="AD191" s="224">
        <f t="shared" si="48"/>
        <v>104</v>
      </c>
      <c r="AE191" s="224">
        <f t="shared" si="49"/>
        <v>0</v>
      </c>
      <c r="AF191" s="224">
        <f t="shared" si="50"/>
        <v>168.8</v>
      </c>
      <c r="AG191" s="224">
        <f t="shared" si="51"/>
        <v>10.4</v>
      </c>
      <c r="AH191" s="257">
        <f t="shared" si="54"/>
        <v>0</v>
      </c>
      <c r="AI191" s="258">
        <f t="shared" si="55"/>
        <v>0</v>
      </c>
      <c r="AJ191" s="55">
        <f>SUMIFS('tuot-INFO'!W:W,'tuot-INFO'!$A:$A,'tuot-PVÄ'!B191)</f>
        <v>88.164000000000001</v>
      </c>
      <c r="AK191" s="55">
        <f>SUMIFS('tuot-INFO'!X:X,'tuot-INFO'!$A:$A,'tuot-PVÄ'!B191)</f>
        <v>9.4799999999999898</v>
      </c>
    </row>
    <row r="192" spans="1:37" x14ac:dyDescent="0.25">
      <c r="A192" s="169">
        <f t="shared" si="52"/>
        <v>42678</v>
      </c>
      <c r="B192" s="23">
        <f>ROUNDUP((A192-Yleistiedot!$B$4)/7,0)</f>
        <v>44</v>
      </c>
      <c r="C192" s="16"/>
      <c r="D192" s="25"/>
      <c r="E192" s="25"/>
      <c r="F192" s="25"/>
      <c r="G192" s="25"/>
      <c r="H192" s="25"/>
      <c r="I192" s="65">
        <f t="shared" si="47"/>
        <v>0</v>
      </c>
      <c r="J192" s="26"/>
      <c r="K192" s="25"/>
      <c r="L192" s="16"/>
      <c r="M192" s="16"/>
      <c r="N192" s="25"/>
      <c r="O192" s="30"/>
      <c r="P192" s="252">
        <f t="shared" si="60"/>
        <v>9990</v>
      </c>
      <c r="Q192" s="253">
        <f t="shared" si="61"/>
        <v>0</v>
      </c>
      <c r="R192" s="253">
        <f t="shared" si="62"/>
        <v>0</v>
      </c>
      <c r="S192" s="251">
        <f>SUMIFS('tuot-rehukirjanpito'!D:D,'tuot-rehukirjanpito'!A:A,A192)</f>
        <v>0</v>
      </c>
      <c r="T192" s="254">
        <f t="shared" si="53"/>
        <v>1098.9000000000001</v>
      </c>
      <c r="U192" s="254">
        <f t="shared" si="59"/>
        <v>1098.8999999999999</v>
      </c>
      <c r="V192" s="252">
        <f t="shared" si="63"/>
        <v>-208790.9999999993</v>
      </c>
      <c r="W192" s="255">
        <f t="shared" si="56"/>
        <v>-189.99999999999935</v>
      </c>
      <c r="X192" s="256" t="str">
        <f t="shared" si="57"/>
        <v/>
      </c>
      <c r="Y192" s="256" t="str">
        <f t="shared" si="58"/>
        <v/>
      </c>
      <c r="Z192" s="224" t="str">
        <f>IF(IFERROR(INDEX('tuot-rehukirjanpito'!I:I,MATCH(A192,'tuot-rehukirjanpito'!G:G,0)),)=0,"",INDEX('tuot-rehukirjanpito'!I:I,MATCH(A192,'tuot-rehukirjanpito'!G:G,0)))</f>
        <v/>
      </c>
      <c r="AA192" s="224">
        <f>SUMIFS('tuot-INFO'!$K$10:$K$115,'tuot-INFO'!$A$10:$A$115,'tuot-PVÄ'!B192)</f>
        <v>63.6</v>
      </c>
      <c r="AB192" s="224">
        <f>SUMIFS('rehu-vesi-INFO'!$R:$R,'rehu-vesi-INFO'!$A:$A,'tuot-PVÄ'!B192)</f>
        <v>1688</v>
      </c>
      <c r="AC192" s="224">
        <f>SUMIFS('rehu-vesi-INFO'!$S:$S,'rehu-vesi-INFO'!$A:$A,'tuot-PVÄ'!B192)</f>
        <v>1792</v>
      </c>
      <c r="AD192" s="224">
        <f t="shared" si="48"/>
        <v>104</v>
      </c>
      <c r="AE192" s="224">
        <f t="shared" si="49"/>
        <v>0</v>
      </c>
      <c r="AF192" s="224">
        <f t="shared" si="50"/>
        <v>168.8</v>
      </c>
      <c r="AG192" s="224">
        <f t="shared" si="51"/>
        <v>10.4</v>
      </c>
      <c r="AH192" s="257">
        <f t="shared" si="54"/>
        <v>0</v>
      </c>
      <c r="AI192" s="258">
        <f t="shared" si="55"/>
        <v>0</v>
      </c>
      <c r="AJ192" s="55">
        <f>SUMIFS('tuot-INFO'!W:W,'tuot-INFO'!$A:$A,'tuot-PVÄ'!B192)</f>
        <v>88.164000000000001</v>
      </c>
      <c r="AK192" s="55">
        <f>SUMIFS('tuot-INFO'!X:X,'tuot-INFO'!$A:$A,'tuot-PVÄ'!B192)</f>
        <v>9.4799999999999898</v>
      </c>
    </row>
    <row r="193" spans="1:37" x14ac:dyDescent="0.25">
      <c r="A193" s="169">
        <f t="shared" si="52"/>
        <v>42679</v>
      </c>
      <c r="B193" s="23">
        <f>ROUNDUP((A193-Yleistiedot!$B$4)/7,0)</f>
        <v>45</v>
      </c>
      <c r="C193" s="16"/>
      <c r="D193" s="25"/>
      <c r="E193" s="25"/>
      <c r="F193" s="25"/>
      <c r="G193" s="25"/>
      <c r="H193" s="25"/>
      <c r="I193" s="65">
        <f t="shared" si="47"/>
        <v>0</v>
      </c>
      <c r="J193" s="26"/>
      <c r="K193" s="25"/>
      <c r="L193" s="16"/>
      <c r="M193" s="16"/>
      <c r="N193" s="25"/>
      <c r="O193" s="30"/>
      <c r="P193" s="252">
        <f t="shared" si="60"/>
        <v>9990</v>
      </c>
      <c r="Q193" s="253">
        <f t="shared" si="61"/>
        <v>0</v>
      </c>
      <c r="R193" s="253">
        <f t="shared" si="62"/>
        <v>0</v>
      </c>
      <c r="S193" s="251">
        <f>SUMIFS('tuot-rehukirjanpito'!D:D,'tuot-rehukirjanpito'!A:A,A193)</f>
        <v>0</v>
      </c>
      <c r="T193" s="254">
        <f t="shared" si="53"/>
        <v>1098.9000000000001</v>
      </c>
      <c r="U193" s="254">
        <f t="shared" si="59"/>
        <v>1098.8999999999999</v>
      </c>
      <c r="V193" s="252">
        <f t="shared" si="63"/>
        <v>-209889.8999999993</v>
      </c>
      <c r="W193" s="255">
        <f t="shared" si="56"/>
        <v>-190.99999999999935</v>
      </c>
      <c r="X193" s="256" t="str">
        <f t="shared" si="57"/>
        <v/>
      </c>
      <c r="Y193" s="256" t="str">
        <f t="shared" si="58"/>
        <v/>
      </c>
      <c r="Z193" s="224" t="str">
        <f>IF(IFERROR(INDEX('tuot-rehukirjanpito'!I:I,MATCH(A193,'tuot-rehukirjanpito'!G:G,0)),)=0,"",INDEX('tuot-rehukirjanpito'!I:I,MATCH(A193,'tuot-rehukirjanpito'!G:G,0)))</f>
        <v/>
      </c>
      <c r="AA193" s="224">
        <f>SUMIFS('tuot-INFO'!$K$10:$K$115,'tuot-INFO'!$A$10:$A$115,'tuot-PVÄ'!B193)</f>
        <v>63.8</v>
      </c>
      <c r="AB193" s="224">
        <f>SUMIFS('rehu-vesi-INFO'!$R:$R,'rehu-vesi-INFO'!$A:$A,'tuot-PVÄ'!B193)</f>
        <v>1690</v>
      </c>
      <c r="AC193" s="224">
        <f>SUMIFS('rehu-vesi-INFO'!$S:$S,'rehu-vesi-INFO'!$A:$A,'tuot-PVÄ'!B193)</f>
        <v>1795</v>
      </c>
      <c r="AD193" s="224">
        <f t="shared" si="48"/>
        <v>105</v>
      </c>
      <c r="AE193" s="224">
        <f t="shared" si="49"/>
        <v>0</v>
      </c>
      <c r="AF193" s="224">
        <f t="shared" si="50"/>
        <v>169</v>
      </c>
      <c r="AG193" s="224">
        <f t="shared" si="51"/>
        <v>10.5</v>
      </c>
      <c r="AH193" s="257">
        <f t="shared" si="54"/>
        <v>0</v>
      </c>
      <c r="AI193" s="258">
        <f t="shared" si="55"/>
        <v>0</v>
      </c>
      <c r="AJ193" s="55">
        <f>SUMIFS('tuot-INFO'!W:W,'tuot-INFO'!$A:$A,'tuot-PVÄ'!B193)</f>
        <v>87.977999999999994</v>
      </c>
      <c r="AK193" s="55">
        <f>SUMIFS('tuot-INFO'!X:X,'tuot-INFO'!$A:$A,'tuot-PVÄ'!B193)</f>
        <v>9.4599999999999937</v>
      </c>
    </row>
    <row r="194" spans="1:37" x14ac:dyDescent="0.25">
      <c r="A194" s="169">
        <f t="shared" si="52"/>
        <v>42680</v>
      </c>
      <c r="B194" s="23">
        <f>ROUNDUP((A194-Yleistiedot!$B$4)/7,0)</f>
        <v>45</v>
      </c>
      <c r="C194" s="16"/>
      <c r="D194" s="25"/>
      <c r="E194" s="25"/>
      <c r="F194" s="25"/>
      <c r="G194" s="25"/>
      <c r="H194" s="25"/>
      <c r="I194" s="65">
        <f t="shared" si="47"/>
        <v>0</v>
      </c>
      <c r="J194" s="26"/>
      <c r="K194" s="25"/>
      <c r="L194" s="16"/>
      <c r="M194" s="16"/>
      <c r="N194" s="25"/>
      <c r="O194" s="30"/>
      <c r="P194" s="252">
        <f t="shared" si="60"/>
        <v>9990</v>
      </c>
      <c r="Q194" s="253">
        <f t="shared" si="61"/>
        <v>0</v>
      </c>
      <c r="R194" s="253">
        <f t="shared" si="62"/>
        <v>0</v>
      </c>
      <c r="S194" s="251">
        <f>SUMIFS('tuot-rehukirjanpito'!D:D,'tuot-rehukirjanpito'!A:A,A194)</f>
        <v>0</v>
      </c>
      <c r="T194" s="254">
        <f t="shared" si="53"/>
        <v>1098.9000000000001</v>
      </c>
      <c r="U194" s="254">
        <f t="shared" si="59"/>
        <v>1098.8999999999999</v>
      </c>
      <c r="V194" s="252">
        <f t="shared" si="63"/>
        <v>-210988.79999999929</v>
      </c>
      <c r="W194" s="255">
        <f t="shared" si="56"/>
        <v>-191.99999999999935</v>
      </c>
      <c r="X194" s="256" t="str">
        <f t="shared" si="57"/>
        <v/>
      </c>
      <c r="Y194" s="256" t="str">
        <f t="shared" si="58"/>
        <v/>
      </c>
      <c r="Z194" s="224" t="str">
        <f>IF(IFERROR(INDEX('tuot-rehukirjanpito'!I:I,MATCH(A194,'tuot-rehukirjanpito'!G:G,0)),)=0,"",INDEX('tuot-rehukirjanpito'!I:I,MATCH(A194,'tuot-rehukirjanpito'!G:G,0)))</f>
        <v/>
      </c>
      <c r="AA194" s="224">
        <f>SUMIFS('tuot-INFO'!$K$10:$K$115,'tuot-INFO'!$A$10:$A$115,'tuot-PVÄ'!B194)</f>
        <v>63.8</v>
      </c>
      <c r="AB194" s="224">
        <f>SUMIFS('rehu-vesi-INFO'!$R:$R,'rehu-vesi-INFO'!$A:$A,'tuot-PVÄ'!B194)</f>
        <v>1690</v>
      </c>
      <c r="AC194" s="224">
        <f>SUMIFS('rehu-vesi-INFO'!$S:$S,'rehu-vesi-INFO'!$A:$A,'tuot-PVÄ'!B194)</f>
        <v>1795</v>
      </c>
      <c r="AD194" s="224">
        <f t="shared" si="48"/>
        <v>105</v>
      </c>
      <c r="AE194" s="224">
        <f t="shared" si="49"/>
        <v>0</v>
      </c>
      <c r="AF194" s="224">
        <f t="shared" si="50"/>
        <v>169</v>
      </c>
      <c r="AG194" s="224">
        <f t="shared" si="51"/>
        <v>10.5</v>
      </c>
      <c r="AH194" s="257">
        <f t="shared" si="54"/>
        <v>0</v>
      </c>
      <c r="AI194" s="258">
        <f t="shared" si="55"/>
        <v>0</v>
      </c>
      <c r="AJ194" s="55">
        <f>SUMIFS('tuot-INFO'!W:W,'tuot-INFO'!$A:$A,'tuot-PVÄ'!B194)</f>
        <v>87.977999999999994</v>
      </c>
      <c r="AK194" s="55">
        <f>SUMIFS('tuot-INFO'!X:X,'tuot-INFO'!$A:$A,'tuot-PVÄ'!B194)</f>
        <v>9.4599999999999937</v>
      </c>
    </row>
    <row r="195" spans="1:37" x14ac:dyDescent="0.25">
      <c r="A195" s="169">
        <f t="shared" si="52"/>
        <v>42681</v>
      </c>
      <c r="B195" s="23">
        <f>ROUNDUP((A195-Yleistiedot!$B$4)/7,0)</f>
        <v>45</v>
      </c>
      <c r="C195" s="16"/>
      <c r="D195" s="25"/>
      <c r="E195" s="25"/>
      <c r="F195" s="25"/>
      <c r="G195" s="25"/>
      <c r="H195" s="25"/>
      <c r="I195" s="65">
        <f t="shared" si="47"/>
        <v>0</v>
      </c>
      <c r="J195" s="26"/>
      <c r="K195" s="25"/>
      <c r="L195" s="16"/>
      <c r="M195" s="16"/>
      <c r="N195" s="25"/>
      <c r="O195" s="30"/>
      <c r="P195" s="252">
        <f t="shared" si="60"/>
        <v>9990</v>
      </c>
      <c r="Q195" s="253">
        <f t="shared" si="61"/>
        <v>0</v>
      </c>
      <c r="R195" s="253">
        <f t="shared" si="62"/>
        <v>0</v>
      </c>
      <c r="S195" s="251">
        <f>SUMIFS('tuot-rehukirjanpito'!D:D,'tuot-rehukirjanpito'!A:A,A195)</f>
        <v>0</v>
      </c>
      <c r="T195" s="254">
        <f t="shared" si="53"/>
        <v>1098.9000000000001</v>
      </c>
      <c r="U195" s="254">
        <f t="shared" si="59"/>
        <v>1098.8999999999999</v>
      </c>
      <c r="V195" s="252">
        <f t="shared" si="63"/>
        <v>-212087.69999999928</v>
      </c>
      <c r="W195" s="255">
        <f t="shared" si="56"/>
        <v>-192.99999999999935</v>
      </c>
      <c r="X195" s="256" t="str">
        <f t="shared" si="57"/>
        <v/>
      </c>
      <c r="Y195" s="256" t="str">
        <f t="shared" si="58"/>
        <v/>
      </c>
      <c r="Z195" s="224" t="str">
        <f>IF(IFERROR(INDEX('tuot-rehukirjanpito'!I:I,MATCH(A195,'tuot-rehukirjanpito'!G:G,0)),)=0,"",INDEX('tuot-rehukirjanpito'!I:I,MATCH(A195,'tuot-rehukirjanpito'!G:G,0)))</f>
        <v/>
      </c>
      <c r="AA195" s="224">
        <f>SUMIFS('tuot-INFO'!$K$10:$K$115,'tuot-INFO'!$A$10:$A$115,'tuot-PVÄ'!B195)</f>
        <v>63.8</v>
      </c>
      <c r="AB195" s="224">
        <f>SUMIFS('rehu-vesi-INFO'!$R:$R,'rehu-vesi-INFO'!$A:$A,'tuot-PVÄ'!B195)</f>
        <v>1690</v>
      </c>
      <c r="AC195" s="224">
        <f>SUMIFS('rehu-vesi-INFO'!$S:$S,'rehu-vesi-INFO'!$A:$A,'tuot-PVÄ'!B195)</f>
        <v>1795</v>
      </c>
      <c r="AD195" s="224">
        <f t="shared" si="48"/>
        <v>105</v>
      </c>
      <c r="AE195" s="224">
        <f t="shared" si="49"/>
        <v>0</v>
      </c>
      <c r="AF195" s="224">
        <f t="shared" si="50"/>
        <v>169</v>
      </c>
      <c r="AG195" s="224">
        <f t="shared" si="51"/>
        <v>10.5</v>
      </c>
      <c r="AH195" s="257">
        <f t="shared" si="54"/>
        <v>0</v>
      </c>
      <c r="AI195" s="258">
        <f t="shared" si="55"/>
        <v>0</v>
      </c>
      <c r="AJ195" s="55">
        <f>SUMIFS('tuot-INFO'!W:W,'tuot-INFO'!$A:$A,'tuot-PVÄ'!B195)</f>
        <v>87.977999999999994</v>
      </c>
      <c r="AK195" s="55">
        <f>SUMIFS('tuot-INFO'!X:X,'tuot-INFO'!$A:$A,'tuot-PVÄ'!B195)</f>
        <v>9.4599999999999937</v>
      </c>
    </row>
    <row r="196" spans="1:37" x14ac:dyDescent="0.25">
      <c r="A196" s="169">
        <f t="shared" si="52"/>
        <v>42682</v>
      </c>
      <c r="B196" s="23">
        <f>ROUNDUP((A196-Yleistiedot!$B$4)/7,0)</f>
        <v>45</v>
      </c>
      <c r="C196" s="16"/>
      <c r="D196" s="25"/>
      <c r="E196" s="25"/>
      <c r="F196" s="25"/>
      <c r="G196" s="25"/>
      <c r="H196" s="25"/>
      <c r="I196" s="65">
        <f t="shared" ref="I196:I259" si="64">SUM(E196:H196)</f>
        <v>0</v>
      </c>
      <c r="J196" s="26"/>
      <c r="K196" s="25"/>
      <c r="L196" s="16"/>
      <c r="M196" s="16"/>
      <c r="N196" s="25"/>
      <c r="O196" s="30"/>
      <c r="P196" s="252">
        <f t="shared" si="60"/>
        <v>9990</v>
      </c>
      <c r="Q196" s="253">
        <f t="shared" si="61"/>
        <v>0</v>
      </c>
      <c r="R196" s="253">
        <f t="shared" si="62"/>
        <v>0</v>
      </c>
      <c r="S196" s="251">
        <f>SUMIFS('tuot-rehukirjanpito'!D:D,'tuot-rehukirjanpito'!A:A,A196)</f>
        <v>0</v>
      </c>
      <c r="T196" s="254">
        <f t="shared" si="53"/>
        <v>1098.9000000000001</v>
      </c>
      <c r="U196" s="254">
        <f t="shared" si="59"/>
        <v>1098.8999999999999</v>
      </c>
      <c r="V196" s="252">
        <f t="shared" si="63"/>
        <v>-213186.59999999928</v>
      </c>
      <c r="W196" s="255">
        <f>IFERROR(V196/T196,"")</f>
        <v>-193.99999999999932</v>
      </c>
      <c r="X196" s="256" t="str">
        <f t="shared" si="57"/>
        <v/>
      </c>
      <c r="Y196" s="256" t="str">
        <f t="shared" si="58"/>
        <v/>
      </c>
      <c r="Z196" s="224" t="str">
        <f>IF(IFERROR(INDEX('tuot-rehukirjanpito'!I:I,MATCH(A196,'tuot-rehukirjanpito'!G:G,0)),)=0,"",INDEX('tuot-rehukirjanpito'!I:I,MATCH(A196,'tuot-rehukirjanpito'!G:G,0)))</f>
        <v/>
      </c>
      <c r="AA196" s="224">
        <f>SUMIFS('tuot-INFO'!$K$10:$K$115,'tuot-INFO'!$A$10:$A$115,'tuot-PVÄ'!B196)</f>
        <v>63.8</v>
      </c>
      <c r="AB196" s="224">
        <f>SUMIFS('rehu-vesi-INFO'!$R:$R,'rehu-vesi-INFO'!$A:$A,'tuot-PVÄ'!B196)</f>
        <v>1690</v>
      </c>
      <c r="AC196" s="224">
        <f>SUMIFS('rehu-vesi-INFO'!$S:$S,'rehu-vesi-INFO'!$A:$A,'tuot-PVÄ'!B196)</f>
        <v>1795</v>
      </c>
      <c r="AD196" s="224">
        <f t="shared" ref="AD196:AD259" si="65">AC196-AB196</f>
        <v>105</v>
      </c>
      <c r="AE196" s="224">
        <f t="shared" ref="AE196:AE259" si="66">K196/10</f>
        <v>0</v>
      </c>
      <c r="AF196" s="224">
        <f t="shared" ref="AF196:AF259" si="67">AB196/10</f>
        <v>169</v>
      </c>
      <c r="AG196" s="224">
        <f t="shared" ref="AG196:AG259" si="68">AD196/10</f>
        <v>10.5</v>
      </c>
      <c r="AH196" s="257">
        <f t="shared" si="54"/>
        <v>0</v>
      </c>
      <c r="AI196" s="258">
        <f t="shared" si="55"/>
        <v>0</v>
      </c>
      <c r="AJ196" s="55">
        <f>SUMIFS('tuot-INFO'!W:W,'tuot-INFO'!$A:$A,'tuot-PVÄ'!B196)</f>
        <v>87.977999999999994</v>
      </c>
      <c r="AK196" s="55">
        <f>SUMIFS('tuot-INFO'!X:X,'tuot-INFO'!$A:$A,'tuot-PVÄ'!B196)</f>
        <v>9.4599999999999937</v>
      </c>
    </row>
    <row r="197" spans="1:37" x14ac:dyDescent="0.25">
      <c r="A197" s="169">
        <f t="shared" ref="A197:A260" si="69">A196+1</f>
        <v>42683</v>
      </c>
      <c r="B197" s="23">
        <f>ROUNDUP((A197-Yleistiedot!$B$4)/7,0)</f>
        <v>45</v>
      </c>
      <c r="C197" s="16"/>
      <c r="D197" s="25"/>
      <c r="E197" s="25"/>
      <c r="F197" s="25"/>
      <c r="G197" s="25"/>
      <c r="H197" s="25"/>
      <c r="I197" s="65">
        <f t="shared" si="64"/>
        <v>0</v>
      </c>
      <c r="J197" s="26"/>
      <c r="K197" s="25"/>
      <c r="L197" s="16"/>
      <c r="M197" s="16"/>
      <c r="N197" s="25"/>
      <c r="O197" s="30"/>
      <c r="P197" s="252">
        <f t="shared" si="60"/>
        <v>9990</v>
      </c>
      <c r="Q197" s="253">
        <f t="shared" si="61"/>
        <v>0</v>
      </c>
      <c r="R197" s="253">
        <f t="shared" si="62"/>
        <v>0</v>
      </c>
      <c r="S197" s="251">
        <f>SUMIFS('tuot-rehukirjanpito'!D:D,'tuot-rehukirjanpito'!A:A,A197)</f>
        <v>0</v>
      </c>
      <c r="T197" s="254">
        <f>IF(L197&gt;0,P197*L197/1000,T196)</f>
        <v>1098.9000000000001</v>
      </c>
      <c r="U197" s="254">
        <f t="shared" si="59"/>
        <v>1098.8999999999999</v>
      </c>
      <c r="V197" s="252">
        <f t="shared" si="63"/>
        <v>-214285.49999999927</v>
      </c>
      <c r="W197" s="255">
        <f>IFERROR(V197/T197,"")</f>
        <v>-194.99999999999932</v>
      </c>
      <c r="X197" s="256" t="str">
        <f t="shared" si="57"/>
        <v/>
      </c>
      <c r="Y197" s="256" t="str">
        <f t="shared" si="58"/>
        <v/>
      </c>
      <c r="Z197" s="224" t="str">
        <f>IF(IFERROR(INDEX('tuot-rehukirjanpito'!I:I,MATCH(A197,'tuot-rehukirjanpito'!G:G,0)),)=0,"",INDEX('tuot-rehukirjanpito'!I:I,MATCH(A197,'tuot-rehukirjanpito'!G:G,0)))</f>
        <v/>
      </c>
      <c r="AA197" s="224">
        <f>SUMIFS('tuot-INFO'!$K$10:$K$115,'tuot-INFO'!$A$10:$A$115,'tuot-PVÄ'!B197)</f>
        <v>63.8</v>
      </c>
      <c r="AB197" s="224">
        <f>SUMIFS('rehu-vesi-INFO'!$R:$R,'rehu-vesi-INFO'!$A:$A,'tuot-PVÄ'!B197)</f>
        <v>1690</v>
      </c>
      <c r="AC197" s="224">
        <f>SUMIFS('rehu-vesi-INFO'!$S:$S,'rehu-vesi-INFO'!$A:$A,'tuot-PVÄ'!B197)</f>
        <v>1795</v>
      </c>
      <c r="AD197" s="224">
        <f t="shared" si="65"/>
        <v>105</v>
      </c>
      <c r="AE197" s="224">
        <f t="shared" si="66"/>
        <v>0</v>
      </c>
      <c r="AF197" s="224">
        <f t="shared" si="67"/>
        <v>169</v>
      </c>
      <c r="AG197" s="224">
        <f t="shared" si="68"/>
        <v>10.5</v>
      </c>
      <c r="AH197" s="257">
        <f t="shared" si="54"/>
        <v>0</v>
      </c>
      <c r="AI197" s="258">
        <f t="shared" si="55"/>
        <v>0</v>
      </c>
      <c r="AJ197" s="55">
        <f>SUMIFS('tuot-INFO'!W:W,'tuot-INFO'!$A:$A,'tuot-PVÄ'!B197)</f>
        <v>87.977999999999994</v>
      </c>
      <c r="AK197" s="55">
        <f>SUMIFS('tuot-INFO'!X:X,'tuot-INFO'!$A:$A,'tuot-PVÄ'!B197)</f>
        <v>9.4599999999999937</v>
      </c>
    </row>
    <row r="198" spans="1:37" x14ac:dyDescent="0.25">
      <c r="A198" s="169">
        <f t="shared" si="69"/>
        <v>42684</v>
      </c>
      <c r="B198" s="23">
        <f>ROUNDUP((A198-Yleistiedot!$B$4)/7,0)</f>
        <v>45</v>
      </c>
      <c r="C198" s="16"/>
      <c r="D198" s="25"/>
      <c r="E198" s="25"/>
      <c r="F198" s="25"/>
      <c r="G198" s="25"/>
      <c r="H198" s="25"/>
      <c r="I198" s="65">
        <f t="shared" si="64"/>
        <v>0</v>
      </c>
      <c r="J198" s="26"/>
      <c r="K198" s="25"/>
      <c r="L198" s="16"/>
      <c r="M198" s="16"/>
      <c r="N198" s="25"/>
      <c r="O198" s="30"/>
      <c r="P198" s="252">
        <f t="shared" si="60"/>
        <v>9990</v>
      </c>
      <c r="Q198" s="253">
        <f t="shared" si="61"/>
        <v>0</v>
      </c>
      <c r="R198" s="253">
        <f t="shared" si="62"/>
        <v>0</v>
      </c>
      <c r="S198" s="251">
        <f>SUMIFS('tuot-rehukirjanpito'!D:D,'tuot-rehukirjanpito'!A:A,A198)</f>
        <v>0</v>
      </c>
      <c r="T198" s="254">
        <f>IF(L198&gt;0,P198*L198/1000,T197)</f>
        <v>1098.9000000000001</v>
      </c>
      <c r="U198" s="254">
        <f t="shared" si="59"/>
        <v>1098.8999999999999</v>
      </c>
      <c r="V198" s="252">
        <f t="shared" si="63"/>
        <v>-215384.39999999927</v>
      </c>
      <c r="W198" s="255">
        <f>IFERROR(V198/T198,"")</f>
        <v>-195.99999999999932</v>
      </c>
      <c r="X198" s="256" t="str">
        <f t="shared" si="57"/>
        <v/>
      </c>
      <c r="Y198" s="256" t="str">
        <f t="shared" si="58"/>
        <v/>
      </c>
      <c r="Z198" s="224" t="str">
        <f>IF(IFERROR(INDEX('tuot-rehukirjanpito'!I:I,MATCH(A198,'tuot-rehukirjanpito'!G:G,0)),)=0,"",INDEX('tuot-rehukirjanpito'!I:I,MATCH(A198,'tuot-rehukirjanpito'!G:G,0)))</f>
        <v/>
      </c>
      <c r="AA198" s="224">
        <f>SUMIFS('tuot-INFO'!$K$10:$K$115,'tuot-INFO'!$A$10:$A$115,'tuot-PVÄ'!B198)</f>
        <v>63.8</v>
      </c>
      <c r="AB198" s="224">
        <f>SUMIFS('rehu-vesi-INFO'!$R:$R,'rehu-vesi-INFO'!$A:$A,'tuot-PVÄ'!B198)</f>
        <v>1690</v>
      </c>
      <c r="AC198" s="224">
        <f>SUMIFS('rehu-vesi-INFO'!$S:$S,'rehu-vesi-INFO'!$A:$A,'tuot-PVÄ'!B198)</f>
        <v>1795</v>
      </c>
      <c r="AD198" s="224">
        <f t="shared" si="65"/>
        <v>105</v>
      </c>
      <c r="AE198" s="224">
        <f t="shared" si="66"/>
        <v>0</v>
      </c>
      <c r="AF198" s="224">
        <f t="shared" si="67"/>
        <v>169</v>
      </c>
      <c r="AG198" s="224">
        <f t="shared" si="68"/>
        <v>10.5</v>
      </c>
      <c r="AH198" s="257">
        <f t="shared" ref="AH198:AH261" si="70">IFERROR(AVERAGE(L196:L198),)</f>
        <v>0</v>
      </c>
      <c r="AI198" s="258">
        <f t="shared" ref="AI198:AI261" si="71">AVERAGE(Q197+R197,Q198+R198,Q196+R196)</f>
        <v>0</v>
      </c>
      <c r="AJ198" s="55">
        <f>SUMIFS('tuot-INFO'!W:W,'tuot-INFO'!$A:$A,'tuot-PVÄ'!B198)</f>
        <v>87.977999999999994</v>
      </c>
      <c r="AK198" s="55">
        <f>SUMIFS('tuot-INFO'!X:X,'tuot-INFO'!$A:$A,'tuot-PVÄ'!B198)</f>
        <v>9.4599999999999937</v>
      </c>
    </row>
    <row r="199" spans="1:37" x14ac:dyDescent="0.25">
      <c r="A199" s="169">
        <f t="shared" si="69"/>
        <v>42685</v>
      </c>
      <c r="B199" s="23">
        <f>ROUNDUP((A199-Yleistiedot!$B$4)/7,0)</f>
        <v>45</v>
      </c>
      <c r="C199" s="16"/>
      <c r="D199" s="25"/>
      <c r="E199" s="25"/>
      <c r="F199" s="25"/>
      <c r="G199" s="25"/>
      <c r="H199" s="25"/>
      <c r="I199" s="65">
        <f t="shared" si="64"/>
        <v>0</v>
      </c>
      <c r="J199" s="26"/>
      <c r="K199" s="25"/>
      <c r="L199" s="16"/>
      <c r="M199" s="16"/>
      <c r="N199" s="25"/>
      <c r="O199" s="30"/>
      <c r="P199" s="252">
        <f t="shared" si="60"/>
        <v>9990</v>
      </c>
      <c r="Q199" s="253">
        <f t="shared" si="61"/>
        <v>0</v>
      </c>
      <c r="R199" s="253">
        <f t="shared" si="62"/>
        <v>0</v>
      </c>
      <c r="S199" s="251">
        <f>SUMIFS('tuot-rehukirjanpito'!D:D,'tuot-rehukirjanpito'!A:A,A199)</f>
        <v>0</v>
      </c>
      <c r="T199" s="254">
        <f>IF(L199&gt;0,P199*L199/1000,T198)</f>
        <v>1098.9000000000001</v>
      </c>
      <c r="U199" s="254">
        <f t="shared" si="59"/>
        <v>1098.8999999999999</v>
      </c>
      <c r="V199" s="252">
        <f t="shared" si="63"/>
        <v>-216483.29999999926</v>
      </c>
      <c r="W199" s="255">
        <f>IFERROR(V199/T199,"")</f>
        <v>-196.99999999999932</v>
      </c>
      <c r="X199" s="256" t="str">
        <f t="shared" si="57"/>
        <v/>
      </c>
      <c r="Y199" s="256" t="str">
        <f t="shared" si="58"/>
        <v/>
      </c>
      <c r="Z199" s="224" t="str">
        <f>IF(IFERROR(INDEX('tuot-rehukirjanpito'!I:I,MATCH(A199,'tuot-rehukirjanpito'!G:G,0)),)=0,"",INDEX('tuot-rehukirjanpito'!I:I,MATCH(A199,'tuot-rehukirjanpito'!G:G,0)))</f>
        <v/>
      </c>
      <c r="AA199" s="224">
        <f>SUMIFS('tuot-INFO'!$K$10:$K$115,'tuot-INFO'!$A$10:$A$115,'tuot-PVÄ'!B199)</f>
        <v>63.8</v>
      </c>
      <c r="AB199" s="224">
        <f>SUMIFS('rehu-vesi-INFO'!$R:$R,'rehu-vesi-INFO'!$A:$A,'tuot-PVÄ'!B199)</f>
        <v>1690</v>
      </c>
      <c r="AC199" s="224">
        <f>SUMIFS('rehu-vesi-INFO'!$S:$S,'rehu-vesi-INFO'!$A:$A,'tuot-PVÄ'!B199)</f>
        <v>1795</v>
      </c>
      <c r="AD199" s="224">
        <f t="shared" si="65"/>
        <v>105</v>
      </c>
      <c r="AE199" s="224">
        <f t="shared" si="66"/>
        <v>0</v>
      </c>
      <c r="AF199" s="224">
        <f t="shared" si="67"/>
        <v>169</v>
      </c>
      <c r="AG199" s="224">
        <f t="shared" si="68"/>
        <v>10.5</v>
      </c>
      <c r="AH199" s="257">
        <f t="shared" si="70"/>
        <v>0</v>
      </c>
      <c r="AI199" s="258">
        <f t="shared" si="71"/>
        <v>0</v>
      </c>
      <c r="AJ199" s="55">
        <f>SUMIFS('tuot-INFO'!W:W,'tuot-INFO'!$A:$A,'tuot-PVÄ'!B199)</f>
        <v>87.977999999999994</v>
      </c>
      <c r="AK199" s="55">
        <f>SUMIFS('tuot-INFO'!X:X,'tuot-INFO'!$A:$A,'tuot-PVÄ'!B199)</f>
        <v>9.4599999999999937</v>
      </c>
    </row>
    <row r="200" spans="1:37" x14ac:dyDescent="0.25">
      <c r="A200" s="169">
        <f t="shared" si="69"/>
        <v>42686</v>
      </c>
      <c r="B200" s="23">
        <f>ROUNDUP((A200-Yleistiedot!$B$4)/7,0)</f>
        <v>46</v>
      </c>
      <c r="C200" s="16"/>
      <c r="D200" s="25"/>
      <c r="E200" s="25"/>
      <c r="F200" s="25"/>
      <c r="G200" s="25"/>
      <c r="H200" s="25"/>
      <c r="I200" s="65">
        <f t="shared" si="64"/>
        <v>0</v>
      </c>
      <c r="J200" s="26"/>
      <c r="K200" s="25"/>
      <c r="L200" s="16"/>
      <c r="M200" s="16"/>
      <c r="N200" s="25"/>
      <c r="O200" s="30"/>
      <c r="P200" s="252">
        <f t="shared" si="60"/>
        <v>9990</v>
      </c>
      <c r="Q200" s="253">
        <f t="shared" si="61"/>
        <v>0</v>
      </c>
      <c r="R200" s="253">
        <f t="shared" si="62"/>
        <v>0</v>
      </c>
      <c r="S200" s="251">
        <f>SUMIFS('tuot-rehukirjanpito'!D:D,'tuot-rehukirjanpito'!A:A,A200)</f>
        <v>0</v>
      </c>
      <c r="T200" s="254">
        <f t="shared" ref="T200:T263" si="72">IF(L200&gt;0,P200*L200/1000,T199)</f>
        <v>1098.9000000000001</v>
      </c>
      <c r="U200" s="254">
        <f t="shared" ref="U200:U263" si="73">IFERROR(AVERAGEIF(T194:T200,"&lt;&gt;0"),0)</f>
        <v>1098.8999999999999</v>
      </c>
      <c r="V200" s="252">
        <f t="shared" ref="V200:V263" si="74">V199+S200-T200</f>
        <v>-217582.19999999925</v>
      </c>
      <c r="W200" s="255">
        <f t="shared" ref="W200:W263" si="75">IFERROR(V200/T200,"")</f>
        <v>-197.99999999999932</v>
      </c>
      <c r="X200" s="256" t="str">
        <f t="shared" si="57"/>
        <v/>
      </c>
      <c r="Y200" s="256" t="str">
        <f t="shared" si="58"/>
        <v/>
      </c>
      <c r="Z200" s="224" t="str">
        <f>IF(IFERROR(INDEX('tuot-rehukirjanpito'!I:I,MATCH(A200,'tuot-rehukirjanpito'!G:G,0)),)=0,"",INDEX('tuot-rehukirjanpito'!I:I,MATCH(A200,'tuot-rehukirjanpito'!G:G,0)))</f>
        <v/>
      </c>
      <c r="AA200" s="224">
        <f>SUMIFS('tuot-INFO'!$K$10:$K$115,'tuot-INFO'!$A$10:$A$115,'tuot-PVÄ'!B200)</f>
        <v>64</v>
      </c>
      <c r="AB200" s="224">
        <f>SUMIFS('rehu-vesi-INFO'!$R:$R,'rehu-vesi-INFO'!$A:$A,'tuot-PVÄ'!B200)</f>
        <v>1693</v>
      </c>
      <c r="AC200" s="224">
        <f>SUMIFS('rehu-vesi-INFO'!$S:$S,'rehu-vesi-INFO'!$A:$A,'tuot-PVÄ'!B200)</f>
        <v>1797</v>
      </c>
      <c r="AD200" s="224">
        <f t="shared" si="65"/>
        <v>104</v>
      </c>
      <c r="AE200" s="224">
        <f t="shared" si="66"/>
        <v>0</v>
      </c>
      <c r="AF200" s="224">
        <f t="shared" si="67"/>
        <v>169.3</v>
      </c>
      <c r="AG200" s="224">
        <f t="shared" si="68"/>
        <v>10.4</v>
      </c>
      <c r="AH200" s="257">
        <f t="shared" si="70"/>
        <v>0</v>
      </c>
      <c r="AI200" s="258">
        <f t="shared" si="71"/>
        <v>0</v>
      </c>
      <c r="AJ200" s="55">
        <f>SUMIFS('tuot-INFO'!W:W,'tuot-INFO'!$A:$A,'tuot-PVÄ'!B200)</f>
        <v>87.792000000000002</v>
      </c>
      <c r="AK200" s="55">
        <f>SUMIFS('tuot-INFO'!X:X,'tuot-INFO'!$A:$A,'tuot-PVÄ'!B200)</f>
        <v>9.4399999999999977</v>
      </c>
    </row>
    <row r="201" spans="1:37" x14ac:dyDescent="0.25">
      <c r="A201" s="169">
        <f t="shared" si="69"/>
        <v>42687</v>
      </c>
      <c r="B201" s="23">
        <f>ROUNDUP((A201-Yleistiedot!$B$4)/7,0)</f>
        <v>46</v>
      </c>
      <c r="C201" s="16"/>
      <c r="D201" s="25"/>
      <c r="E201" s="25"/>
      <c r="F201" s="25"/>
      <c r="G201" s="25"/>
      <c r="H201" s="25"/>
      <c r="I201" s="65">
        <f t="shared" si="64"/>
        <v>0</v>
      </c>
      <c r="J201" s="26"/>
      <c r="K201" s="25"/>
      <c r="L201" s="16"/>
      <c r="M201" s="16"/>
      <c r="N201" s="25"/>
      <c r="O201" s="30"/>
      <c r="P201" s="252">
        <f t="shared" si="60"/>
        <v>9990</v>
      </c>
      <c r="Q201" s="253">
        <f t="shared" si="61"/>
        <v>0</v>
      </c>
      <c r="R201" s="253">
        <f t="shared" si="62"/>
        <v>0</v>
      </c>
      <c r="S201" s="251">
        <f>SUMIFS('tuot-rehukirjanpito'!D:D,'tuot-rehukirjanpito'!A:A,A201)</f>
        <v>0</v>
      </c>
      <c r="T201" s="254">
        <f t="shared" si="72"/>
        <v>1098.9000000000001</v>
      </c>
      <c r="U201" s="254">
        <f t="shared" si="73"/>
        <v>1098.8999999999999</v>
      </c>
      <c r="V201" s="252">
        <f t="shared" si="74"/>
        <v>-218681.09999999925</v>
      </c>
      <c r="W201" s="255">
        <f t="shared" si="75"/>
        <v>-198.99999999999929</v>
      </c>
      <c r="X201" s="256" t="str">
        <f t="shared" si="57"/>
        <v/>
      </c>
      <c r="Y201" s="256" t="str">
        <f t="shared" si="58"/>
        <v/>
      </c>
      <c r="Z201" s="224" t="str">
        <f>IF(IFERROR(INDEX('tuot-rehukirjanpito'!I:I,MATCH(A201,'tuot-rehukirjanpito'!G:G,0)),)=0,"",INDEX('tuot-rehukirjanpito'!I:I,MATCH(A201,'tuot-rehukirjanpito'!G:G,0)))</f>
        <v/>
      </c>
      <c r="AA201" s="224">
        <f>SUMIFS('tuot-INFO'!$K$10:$K$115,'tuot-INFO'!$A$10:$A$115,'tuot-PVÄ'!B201)</f>
        <v>64</v>
      </c>
      <c r="AB201" s="224">
        <f>SUMIFS('rehu-vesi-INFO'!$R:$R,'rehu-vesi-INFO'!$A:$A,'tuot-PVÄ'!B201)</f>
        <v>1693</v>
      </c>
      <c r="AC201" s="224">
        <f>SUMIFS('rehu-vesi-INFO'!$S:$S,'rehu-vesi-INFO'!$A:$A,'tuot-PVÄ'!B201)</f>
        <v>1797</v>
      </c>
      <c r="AD201" s="224">
        <f t="shared" si="65"/>
        <v>104</v>
      </c>
      <c r="AE201" s="224">
        <f t="shared" si="66"/>
        <v>0</v>
      </c>
      <c r="AF201" s="224">
        <f t="shared" si="67"/>
        <v>169.3</v>
      </c>
      <c r="AG201" s="224">
        <f t="shared" si="68"/>
        <v>10.4</v>
      </c>
      <c r="AH201" s="257">
        <f t="shared" si="70"/>
        <v>0</v>
      </c>
      <c r="AI201" s="258">
        <f t="shared" si="71"/>
        <v>0</v>
      </c>
      <c r="AJ201" s="55">
        <f>SUMIFS('tuot-INFO'!W:W,'tuot-INFO'!$A:$A,'tuot-PVÄ'!B201)</f>
        <v>87.792000000000002</v>
      </c>
      <c r="AK201" s="55">
        <f>SUMIFS('tuot-INFO'!X:X,'tuot-INFO'!$A:$A,'tuot-PVÄ'!B201)</f>
        <v>9.4399999999999977</v>
      </c>
    </row>
    <row r="202" spans="1:37" x14ac:dyDescent="0.25">
      <c r="A202" s="169">
        <f t="shared" si="69"/>
        <v>42688</v>
      </c>
      <c r="B202" s="23">
        <f>ROUNDUP((A202-Yleistiedot!$B$4)/7,0)</f>
        <v>46</v>
      </c>
      <c r="C202" s="16"/>
      <c r="D202" s="25"/>
      <c r="E202" s="25"/>
      <c r="F202" s="25"/>
      <c r="G202" s="25"/>
      <c r="H202" s="25"/>
      <c r="I202" s="65">
        <f t="shared" si="64"/>
        <v>0</v>
      </c>
      <c r="J202" s="26"/>
      <c r="K202" s="25"/>
      <c r="L202" s="16"/>
      <c r="M202" s="16"/>
      <c r="N202" s="25"/>
      <c r="O202" s="30"/>
      <c r="P202" s="252">
        <f t="shared" si="60"/>
        <v>9990</v>
      </c>
      <c r="Q202" s="253">
        <f t="shared" si="61"/>
        <v>0</v>
      </c>
      <c r="R202" s="253">
        <f t="shared" si="62"/>
        <v>0</v>
      </c>
      <c r="S202" s="251">
        <f>SUMIFS('tuot-rehukirjanpito'!D:D,'tuot-rehukirjanpito'!A:A,A202)</f>
        <v>0</v>
      </c>
      <c r="T202" s="254">
        <f t="shared" si="72"/>
        <v>1098.9000000000001</v>
      </c>
      <c r="U202" s="254">
        <f t="shared" si="73"/>
        <v>1098.8999999999999</v>
      </c>
      <c r="V202" s="252">
        <f t="shared" si="74"/>
        <v>-219779.99999999924</v>
      </c>
      <c r="W202" s="255">
        <f t="shared" si="75"/>
        <v>-199.99999999999929</v>
      </c>
      <c r="X202" s="256" t="str">
        <f t="shared" si="57"/>
        <v/>
      </c>
      <c r="Y202" s="256" t="str">
        <f t="shared" si="58"/>
        <v/>
      </c>
      <c r="Z202" s="224" t="str">
        <f>IF(IFERROR(INDEX('tuot-rehukirjanpito'!I:I,MATCH(A202,'tuot-rehukirjanpito'!G:G,0)),)=0,"",INDEX('tuot-rehukirjanpito'!I:I,MATCH(A202,'tuot-rehukirjanpito'!G:G,0)))</f>
        <v/>
      </c>
      <c r="AA202" s="224">
        <f>SUMIFS('tuot-INFO'!$K$10:$K$115,'tuot-INFO'!$A$10:$A$115,'tuot-PVÄ'!B202)</f>
        <v>64</v>
      </c>
      <c r="AB202" s="224">
        <f>SUMIFS('rehu-vesi-INFO'!$R:$R,'rehu-vesi-INFO'!$A:$A,'tuot-PVÄ'!B202)</f>
        <v>1693</v>
      </c>
      <c r="AC202" s="224">
        <f>SUMIFS('rehu-vesi-INFO'!$S:$S,'rehu-vesi-INFO'!$A:$A,'tuot-PVÄ'!B202)</f>
        <v>1797</v>
      </c>
      <c r="AD202" s="224">
        <f t="shared" si="65"/>
        <v>104</v>
      </c>
      <c r="AE202" s="224">
        <f t="shared" si="66"/>
        <v>0</v>
      </c>
      <c r="AF202" s="224">
        <f t="shared" si="67"/>
        <v>169.3</v>
      </c>
      <c r="AG202" s="224">
        <f t="shared" si="68"/>
        <v>10.4</v>
      </c>
      <c r="AH202" s="257">
        <f t="shared" si="70"/>
        <v>0</v>
      </c>
      <c r="AI202" s="258">
        <f t="shared" si="71"/>
        <v>0</v>
      </c>
      <c r="AJ202" s="55">
        <f>SUMIFS('tuot-INFO'!W:W,'tuot-INFO'!$A:$A,'tuot-PVÄ'!B202)</f>
        <v>87.792000000000002</v>
      </c>
      <c r="AK202" s="55">
        <f>SUMIFS('tuot-INFO'!X:X,'tuot-INFO'!$A:$A,'tuot-PVÄ'!B202)</f>
        <v>9.4399999999999977</v>
      </c>
    </row>
    <row r="203" spans="1:37" x14ac:dyDescent="0.25">
      <c r="A203" s="169">
        <f t="shared" si="69"/>
        <v>42689</v>
      </c>
      <c r="B203" s="23">
        <f>ROUNDUP((A203-Yleistiedot!$B$4)/7,0)</f>
        <v>46</v>
      </c>
      <c r="C203" s="16"/>
      <c r="D203" s="25"/>
      <c r="E203" s="25"/>
      <c r="F203" s="25"/>
      <c r="G203" s="25"/>
      <c r="H203" s="25"/>
      <c r="I203" s="65">
        <f t="shared" si="64"/>
        <v>0</v>
      </c>
      <c r="J203" s="26"/>
      <c r="K203" s="25"/>
      <c r="L203" s="16"/>
      <c r="M203" s="16"/>
      <c r="N203" s="25"/>
      <c r="O203" s="30"/>
      <c r="P203" s="252">
        <f t="shared" si="60"/>
        <v>9990</v>
      </c>
      <c r="Q203" s="253">
        <f t="shared" si="61"/>
        <v>0</v>
      </c>
      <c r="R203" s="253">
        <f t="shared" si="62"/>
        <v>0</v>
      </c>
      <c r="S203" s="251">
        <f>SUMIFS('tuot-rehukirjanpito'!D:D,'tuot-rehukirjanpito'!A:A,A203)</f>
        <v>0</v>
      </c>
      <c r="T203" s="254">
        <f t="shared" si="72"/>
        <v>1098.9000000000001</v>
      </c>
      <c r="U203" s="254">
        <f t="shared" si="73"/>
        <v>1098.8999999999999</v>
      </c>
      <c r="V203" s="252">
        <f t="shared" si="74"/>
        <v>-220878.89999999924</v>
      </c>
      <c r="W203" s="255">
        <f t="shared" si="75"/>
        <v>-200.99999999999929</v>
      </c>
      <c r="X203" s="256" t="str">
        <f t="shared" si="57"/>
        <v/>
      </c>
      <c r="Y203" s="256" t="str">
        <f t="shared" si="58"/>
        <v/>
      </c>
      <c r="Z203" s="224" t="str">
        <f>IF(IFERROR(INDEX('tuot-rehukirjanpito'!I:I,MATCH(A203,'tuot-rehukirjanpito'!G:G,0)),)=0,"",INDEX('tuot-rehukirjanpito'!I:I,MATCH(A203,'tuot-rehukirjanpito'!G:G,0)))</f>
        <v/>
      </c>
      <c r="AA203" s="224">
        <f>SUMIFS('tuot-INFO'!$K$10:$K$115,'tuot-INFO'!$A$10:$A$115,'tuot-PVÄ'!B203)</f>
        <v>64</v>
      </c>
      <c r="AB203" s="224">
        <f>SUMIFS('rehu-vesi-INFO'!$R:$R,'rehu-vesi-INFO'!$A:$A,'tuot-PVÄ'!B203)</f>
        <v>1693</v>
      </c>
      <c r="AC203" s="224">
        <f>SUMIFS('rehu-vesi-INFO'!$S:$S,'rehu-vesi-INFO'!$A:$A,'tuot-PVÄ'!B203)</f>
        <v>1797</v>
      </c>
      <c r="AD203" s="224">
        <f t="shared" si="65"/>
        <v>104</v>
      </c>
      <c r="AE203" s="224">
        <f t="shared" si="66"/>
        <v>0</v>
      </c>
      <c r="AF203" s="224">
        <f t="shared" si="67"/>
        <v>169.3</v>
      </c>
      <c r="AG203" s="224">
        <f t="shared" si="68"/>
        <v>10.4</v>
      </c>
      <c r="AH203" s="257">
        <f t="shared" si="70"/>
        <v>0</v>
      </c>
      <c r="AI203" s="258">
        <f t="shared" si="71"/>
        <v>0</v>
      </c>
      <c r="AJ203" s="55">
        <f>SUMIFS('tuot-INFO'!W:W,'tuot-INFO'!$A:$A,'tuot-PVÄ'!B203)</f>
        <v>87.792000000000002</v>
      </c>
      <c r="AK203" s="55">
        <f>SUMIFS('tuot-INFO'!X:X,'tuot-INFO'!$A:$A,'tuot-PVÄ'!B203)</f>
        <v>9.4399999999999977</v>
      </c>
    </row>
    <row r="204" spans="1:37" x14ac:dyDescent="0.25">
      <c r="A204" s="169">
        <f t="shared" si="69"/>
        <v>42690</v>
      </c>
      <c r="B204" s="23">
        <f>ROUNDUP((A204-Yleistiedot!$B$4)/7,0)</f>
        <v>46</v>
      </c>
      <c r="C204" s="16"/>
      <c r="D204" s="25"/>
      <c r="E204" s="25"/>
      <c r="F204" s="25"/>
      <c r="G204" s="25"/>
      <c r="H204" s="25"/>
      <c r="I204" s="65">
        <f t="shared" si="64"/>
        <v>0</v>
      </c>
      <c r="J204" s="26"/>
      <c r="K204" s="25"/>
      <c r="L204" s="16"/>
      <c r="M204" s="16"/>
      <c r="N204" s="25"/>
      <c r="O204" s="30"/>
      <c r="P204" s="252">
        <f t="shared" si="60"/>
        <v>9990</v>
      </c>
      <c r="Q204" s="253">
        <f t="shared" si="61"/>
        <v>0</v>
      </c>
      <c r="R204" s="253">
        <f t="shared" si="62"/>
        <v>0</v>
      </c>
      <c r="S204" s="251">
        <f>SUMIFS('tuot-rehukirjanpito'!D:D,'tuot-rehukirjanpito'!A:A,A204)</f>
        <v>0</v>
      </c>
      <c r="T204" s="254">
        <f t="shared" si="72"/>
        <v>1098.9000000000001</v>
      </c>
      <c r="U204" s="254">
        <f t="shared" si="73"/>
        <v>1098.8999999999999</v>
      </c>
      <c r="V204" s="252">
        <f t="shared" si="74"/>
        <v>-221977.79999999923</v>
      </c>
      <c r="W204" s="255">
        <f t="shared" si="75"/>
        <v>-201.99999999999929</v>
      </c>
      <c r="X204" s="256" t="str">
        <f t="shared" si="57"/>
        <v/>
      </c>
      <c r="Y204" s="256" t="str">
        <f t="shared" si="58"/>
        <v/>
      </c>
      <c r="Z204" s="224" t="str">
        <f>IF(IFERROR(INDEX('tuot-rehukirjanpito'!I:I,MATCH(A204,'tuot-rehukirjanpito'!G:G,0)),)=0,"",INDEX('tuot-rehukirjanpito'!I:I,MATCH(A204,'tuot-rehukirjanpito'!G:G,0)))</f>
        <v/>
      </c>
      <c r="AA204" s="224">
        <f>SUMIFS('tuot-INFO'!$K$10:$K$115,'tuot-INFO'!$A$10:$A$115,'tuot-PVÄ'!B204)</f>
        <v>64</v>
      </c>
      <c r="AB204" s="224">
        <f>SUMIFS('rehu-vesi-INFO'!$R:$R,'rehu-vesi-INFO'!$A:$A,'tuot-PVÄ'!B204)</f>
        <v>1693</v>
      </c>
      <c r="AC204" s="224">
        <f>SUMIFS('rehu-vesi-INFO'!$S:$S,'rehu-vesi-INFO'!$A:$A,'tuot-PVÄ'!B204)</f>
        <v>1797</v>
      </c>
      <c r="AD204" s="224">
        <f t="shared" si="65"/>
        <v>104</v>
      </c>
      <c r="AE204" s="224">
        <f t="shared" si="66"/>
        <v>0</v>
      </c>
      <c r="AF204" s="224">
        <f t="shared" si="67"/>
        <v>169.3</v>
      </c>
      <c r="AG204" s="224">
        <f t="shared" si="68"/>
        <v>10.4</v>
      </c>
      <c r="AH204" s="257">
        <f t="shared" si="70"/>
        <v>0</v>
      </c>
      <c r="AI204" s="258">
        <f t="shared" si="71"/>
        <v>0</v>
      </c>
      <c r="AJ204" s="55">
        <f>SUMIFS('tuot-INFO'!W:W,'tuot-INFO'!$A:$A,'tuot-PVÄ'!B204)</f>
        <v>87.792000000000002</v>
      </c>
      <c r="AK204" s="55">
        <f>SUMIFS('tuot-INFO'!X:X,'tuot-INFO'!$A:$A,'tuot-PVÄ'!B204)</f>
        <v>9.4399999999999977</v>
      </c>
    </row>
    <row r="205" spans="1:37" x14ac:dyDescent="0.25">
      <c r="A205" s="169">
        <f t="shared" si="69"/>
        <v>42691</v>
      </c>
      <c r="B205" s="23">
        <f>ROUNDUP((A205-Yleistiedot!$B$4)/7,0)</f>
        <v>46</v>
      </c>
      <c r="C205" s="16"/>
      <c r="D205" s="25"/>
      <c r="E205" s="25"/>
      <c r="F205" s="25"/>
      <c r="G205" s="25"/>
      <c r="H205" s="25"/>
      <c r="I205" s="65">
        <f t="shared" si="64"/>
        <v>0</v>
      </c>
      <c r="J205" s="26"/>
      <c r="K205" s="25"/>
      <c r="L205" s="16"/>
      <c r="M205" s="16"/>
      <c r="N205" s="25"/>
      <c r="O205" s="30"/>
      <c r="P205" s="252">
        <f t="shared" si="60"/>
        <v>9990</v>
      </c>
      <c r="Q205" s="253">
        <f t="shared" si="61"/>
        <v>0</v>
      </c>
      <c r="R205" s="253">
        <f t="shared" si="62"/>
        <v>0</v>
      </c>
      <c r="S205" s="251">
        <f>SUMIFS('tuot-rehukirjanpito'!D:D,'tuot-rehukirjanpito'!A:A,A205)</f>
        <v>0</v>
      </c>
      <c r="T205" s="254">
        <f t="shared" si="72"/>
        <v>1098.9000000000001</v>
      </c>
      <c r="U205" s="254">
        <f t="shared" si="73"/>
        <v>1098.8999999999999</v>
      </c>
      <c r="V205" s="252">
        <f t="shared" si="74"/>
        <v>-223076.69999999923</v>
      </c>
      <c r="W205" s="255">
        <f t="shared" si="75"/>
        <v>-202.99999999999929</v>
      </c>
      <c r="X205" s="256" t="str">
        <f t="shared" si="57"/>
        <v/>
      </c>
      <c r="Y205" s="256" t="str">
        <f t="shared" si="58"/>
        <v/>
      </c>
      <c r="Z205" s="224" t="str">
        <f>IF(IFERROR(INDEX('tuot-rehukirjanpito'!I:I,MATCH(A205,'tuot-rehukirjanpito'!G:G,0)),)=0,"",INDEX('tuot-rehukirjanpito'!I:I,MATCH(A205,'tuot-rehukirjanpito'!G:G,0)))</f>
        <v/>
      </c>
      <c r="AA205" s="224">
        <f>SUMIFS('tuot-INFO'!$K$10:$K$115,'tuot-INFO'!$A$10:$A$115,'tuot-PVÄ'!B205)</f>
        <v>64</v>
      </c>
      <c r="AB205" s="224">
        <f>SUMIFS('rehu-vesi-INFO'!$R:$R,'rehu-vesi-INFO'!$A:$A,'tuot-PVÄ'!B205)</f>
        <v>1693</v>
      </c>
      <c r="AC205" s="224">
        <f>SUMIFS('rehu-vesi-INFO'!$S:$S,'rehu-vesi-INFO'!$A:$A,'tuot-PVÄ'!B205)</f>
        <v>1797</v>
      </c>
      <c r="AD205" s="224">
        <f t="shared" si="65"/>
        <v>104</v>
      </c>
      <c r="AE205" s="224">
        <f t="shared" si="66"/>
        <v>0</v>
      </c>
      <c r="AF205" s="224">
        <f t="shared" si="67"/>
        <v>169.3</v>
      </c>
      <c r="AG205" s="224">
        <f t="shared" si="68"/>
        <v>10.4</v>
      </c>
      <c r="AH205" s="257">
        <f t="shared" si="70"/>
        <v>0</v>
      </c>
      <c r="AI205" s="258">
        <f t="shared" si="71"/>
        <v>0</v>
      </c>
      <c r="AJ205" s="55">
        <f>SUMIFS('tuot-INFO'!W:W,'tuot-INFO'!$A:$A,'tuot-PVÄ'!B205)</f>
        <v>87.792000000000002</v>
      </c>
      <c r="AK205" s="55">
        <f>SUMIFS('tuot-INFO'!X:X,'tuot-INFO'!$A:$A,'tuot-PVÄ'!B205)</f>
        <v>9.4399999999999977</v>
      </c>
    </row>
    <row r="206" spans="1:37" x14ac:dyDescent="0.25">
      <c r="A206" s="169">
        <f t="shared" si="69"/>
        <v>42692</v>
      </c>
      <c r="B206" s="23">
        <f>ROUNDUP((A206-Yleistiedot!$B$4)/7,0)</f>
        <v>46</v>
      </c>
      <c r="C206" s="16"/>
      <c r="D206" s="25"/>
      <c r="E206" s="25"/>
      <c r="F206" s="25"/>
      <c r="G206" s="25"/>
      <c r="H206" s="25"/>
      <c r="I206" s="65">
        <f t="shared" si="64"/>
        <v>0</v>
      </c>
      <c r="J206" s="26"/>
      <c r="K206" s="25"/>
      <c r="L206" s="16"/>
      <c r="M206" s="16"/>
      <c r="N206" s="25"/>
      <c r="O206" s="30"/>
      <c r="P206" s="252">
        <f t="shared" si="60"/>
        <v>9990</v>
      </c>
      <c r="Q206" s="253">
        <f t="shared" si="61"/>
        <v>0</v>
      </c>
      <c r="R206" s="253">
        <f t="shared" si="62"/>
        <v>0</v>
      </c>
      <c r="S206" s="251">
        <f>SUMIFS('tuot-rehukirjanpito'!D:D,'tuot-rehukirjanpito'!A:A,A206)</f>
        <v>0</v>
      </c>
      <c r="T206" s="254">
        <f t="shared" si="72"/>
        <v>1098.9000000000001</v>
      </c>
      <c r="U206" s="254">
        <f t="shared" si="73"/>
        <v>1098.8999999999999</v>
      </c>
      <c r="V206" s="252">
        <f t="shared" si="74"/>
        <v>-224175.59999999922</v>
      </c>
      <c r="W206" s="255">
        <f t="shared" si="75"/>
        <v>-203.99999999999926</v>
      </c>
      <c r="X206" s="256" t="str">
        <f t="shared" si="57"/>
        <v/>
      </c>
      <c r="Y206" s="256" t="str">
        <f t="shared" si="58"/>
        <v/>
      </c>
      <c r="Z206" s="224" t="str">
        <f>IF(IFERROR(INDEX('tuot-rehukirjanpito'!I:I,MATCH(A206,'tuot-rehukirjanpito'!G:G,0)),)=0,"",INDEX('tuot-rehukirjanpito'!I:I,MATCH(A206,'tuot-rehukirjanpito'!G:G,0)))</f>
        <v/>
      </c>
      <c r="AA206" s="224">
        <f>SUMIFS('tuot-INFO'!$K$10:$K$115,'tuot-INFO'!$A$10:$A$115,'tuot-PVÄ'!B206)</f>
        <v>64</v>
      </c>
      <c r="AB206" s="224">
        <f>SUMIFS('rehu-vesi-INFO'!$R:$R,'rehu-vesi-INFO'!$A:$A,'tuot-PVÄ'!B206)</f>
        <v>1693</v>
      </c>
      <c r="AC206" s="224">
        <f>SUMIFS('rehu-vesi-INFO'!$S:$S,'rehu-vesi-INFO'!$A:$A,'tuot-PVÄ'!B206)</f>
        <v>1797</v>
      </c>
      <c r="AD206" s="224">
        <f t="shared" si="65"/>
        <v>104</v>
      </c>
      <c r="AE206" s="224">
        <f t="shared" si="66"/>
        <v>0</v>
      </c>
      <c r="AF206" s="224">
        <f t="shared" si="67"/>
        <v>169.3</v>
      </c>
      <c r="AG206" s="224">
        <f t="shared" si="68"/>
        <v>10.4</v>
      </c>
      <c r="AH206" s="257">
        <f t="shared" si="70"/>
        <v>0</v>
      </c>
      <c r="AI206" s="258">
        <f t="shared" si="71"/>
        <v>0</v>
      </c>
      <c r="AJ206" s="55">
        <f>SUMIFS('tuot-INFO'!W:W,'tuot-INFO'!$A:$A,'tuot-PVÄ'!B206)</f>
        <v>87.792000000000002</v>
      </c>
      <c r="AK206" s="55">
        <f>SUMIFS('tuot-INFO'!X:X,'tuot-INFO'!$A:$A,'tuot-PVÄ'!B206)</f>
        <v>9.4399999999999977</v>
      </c>
    </row>
    <row r="207" spans="1:37" x14ac:dyDescent="0.25">
      <c r="A207" s="169">
        <f t="shared" si="69"/>
        <v>42693</v>
      </c>
      <c r="B207" s="23">
        <f>ROUNDUP((A207-Yleistiedot!$B$4)/7,0)</f>
        <v>47</v>
      </c>
      <c r="C207" s="16"/>
      <c r="D207" s="25"/>
      <c r="E207" s="25"/>
      <c r="F207" s="25"/>
      <c r="G207" s="25"/>
      <c r="H207" s="25"/>
      <c r="I207" s="65">
        <f t="shared" si="64"/>
        <v>0</v>
      </c>
      <c r="J207" s="26"/>
      <c r="K207" s="25"/>
      <c r="L207" s="16"/>
      <c r="M207" s="16"/>
      <c r="N207" s="25"/>
      <c r="O207" s="30"/>
      <c r="P207" s="252">
        <f t="shared" si="60"/>
        <v>9990</v>
      </c>
      <c r="Q207" s="253">
        <f t="shared" si="61"/>
        <v>0</v>
      </c>
      <c r="R207" s="253">
        <f t="shared" si="62"/>
        <v>0</v>
      </c>
      <c r="S207" s="251">
        <f>SUMIFS('tuot-rehukirjanpito'!D:D,'tuot-rehukirjanpito'!A:A,A207)</f>
        <v>0</v>
      </c>
      <c r="T207" s="254">
        <f t="shared" si="72"/>
        <v>1098.9000000000001</v>
      </c>
      <c r="U207" s="254">
        <f t="shared" si="73"/>
        <v>1098.8999999999999</v>
      </c>
      <c r="V207" s="252">
        <f t="shared" si="74"/>
        <v>-225274.49999999921</v>
      </c>
      <c r="W207" s="255">
        <f t="shared" si="75"/>
        <v>-204.99999999999926</v>
      </c>
      <c r="X207" s="256" t="str">
        <f t="shared" si="57"/>
        <v/>
      </c>
      <c r="Y207" s="256" t="str">
        <f t="shared" si="58"/>
        <v/>
      </c>
      <c r="Z207" s="224" t="str">
        <f>IF(IFERROR(INDEX('tuot-rehukirjanpito'!I:I,MATCH(A207,'tuot-rehukirjanpito'!G:G,0)),)=0,"",INDEX('tuot-rehukirjanpito'!I:I,MATCH(A207,'tuot-rehukirjanpito'!G:G,0)))</f>
        <v/>
      </c>
      <c r="AA207" s="224">
        <f>SUMIFS('tuot-INFO'!$K$10:$K$115,'tuot-INFO'!$A$10:$A$115,'tuot-PVÄ'!B207)</f>
        <v>64.2</v>
      </c>
      <c r="AB207" s="224">
        <f>SUMIFS('rehu-vesi-INFO'!$R:$R,'rehu-vesi-INFO'!$A:$A,'tuot-PVÄ'!B207)</f>
        <v>1695</v>
      </c>
      <c r="AC207" s="224">
        <f>SUMIFS('rehu-vesi-INFO'!$S:$S,'rehu-vesi-INFO'!$A:$A,'tuot-PVÄ'!B207)</f>
        <v>1800</v>
      </c>
      <c r="AD207" s="224">
        <f t="shared" si="65"/>
        <v>105</v>
      </c>
      <c r="AE207" s="224">
        <f t="shared" si="66"/>
        <v>0</v>
      </c>
      <c r="AF207" s="224">
        <f t="shared" si="67"/>
        <v>169.5</v>
      </c>
      <c r="AG207" s="224">
        <f t="shared" si="68"/>
        <v>10.5</v>
      </c>
      <c r="AH207" s="257">
        <f t="shared" si="70"/>
        <v>0</v>
      </c>
      <c r="AI207" s="258">
        <f t="shared" si="71"/>
        <v>0</v>
      </c>
      <c r="AJ207" s="55">
        <f>SUMIFS('tuot-INFO'!W:W,'tuot-INFO'!$A:$A,'tuot-PVÄ'!B207)</f>
        <v>87.512999999999991</v>
      </c>
      <c r="AK207" s="55">
        <f>SUMIFS('tuot-INFO'!X:X,'tuot-INFO'!$A:$A,'tuot-PVÄ'!B207)</f>
        <v>9.4099999999999966</v>
      </c>
    </row>
    <row r="208" spans="1:37" x14ac:dyDescent="0.25">
      <c r="A208" s="169">
        <f t="shared" si="69"/>
        <v>42694</v>
      </c>
      <c r="B208" s="23">
        <f>ROUNDUP((A208-Yleistiedot!$B$4)/7,0)</f>
        <v>47</v>
      </c>
      <c r="C208" s="16"/>
      <c r="D208" s="25"/>
      <c r="E208" s="25"/>
      <c r="F208" s="25"/>
      <c r="G208" s="25"/>
      <c r="H208" s="25"/>
      <c r="I208" s="65">
        <f t="shared" si="64"/>
        <v>0</v>
      </c>
      <c r="J208" s="26"/>
      <c r="K208" s="25"/>
      <c r="L208" s="16"/>
      <c r="M208" s="16"/>
      <c r="N208" s="25"/>
      <c r="O208" s="30"/>
      <c r="P208" s="252">
        <f t="shared" si="60"/>
        <v>9990</v>
      </c>
      <c r="Q208" s="253">
        <f t="shared" si="61"/>
        <v>0</v>
      </c>
      <c r="R208" s="253">
        <f t="shared" si="62"/>
        <v>0</v>
      </c>
      <c r="S208" s="251">
        <f>SUMIFS('tuot-rehukirjanpito'!D:D,'tuot-rehukirjanpito'!A:A,A208)</f>
        <v>0</v>
      </c>
      <c r="T208" s="254">
        <f t="shared" si="72"/>
        <v>1098.9000000000001</v>
      </c>
      <c r="U208" s="254">
        <f t="shared" si="73"/>
        <v>1098.8999999999999</v>
      </c>
      <c r="V208" s="252">
        <f t="shared" si="74"/>
        <v>-226373.39999999921</v>
      </c>
      <c r="W208" s="255">
        <f t="shared" si="75"/>
        <v>-205.99999999999926</v>
      </c>
      <c r="X208" s="256" t="str">
        <f t="shared" si="57"/>
        <v/>
      </c>
      <c r="Y208" s="256" t="str">
        <f t="shared" si="58"/>
        <v/>
      </c>
      <c r="Z208" s="224" t="str">
        <f>IF(IFERROR(INDEX('tuot-rehukirjanpito'!I:I,MATCH(A208,'tuot-rehukirjanpito'!G:G,0)),)=0,"",INDEX('tuot-rehukirjanpito'!I:I,MATCH(A208,'tuot-rehukirjanpito'!G:G,0)))</f>
        <v/>
      </c>
      <c r="AA208" s="224">
        <f>SUMIFS('tuot-INFO'!$K$10:$K$115,'tuot-INFO'!$A$10:$A$115,'tuot-PVÄ'!B208)</f>
        <v>64.2</v>
      </c>
      <c r="AB208" s="224">
        <f>SUMIFS('rehu-vesi-INFO'!$R:$R,'rehu-vesi-INFO'!$A:$A,'tuot-PVÄ'!B208)</f>
        <v>1695</v>
      </c>
      <c r="AC208" s="224">
        <f>SUMIFS('rehu-vesi-INFO'!$S:$S,'rehu-vesi-INFO'!$A:$A,'tuot-PVÄ'!B208)</f>
        <v>1800</v>
      </c>
      <c r="AD208" s="224">
        <f t="shared" si="65"/>
        <v>105</v>
      </c>
      <c r="AE208" s="224">
        <f t="shared" si="66"/>
        <v>0</v>
      </c>
      <c r="AF208" s="224">
        <f t="shared" si="67"/>
        <v>169.5</v>
      </c>
      <c r="AG208" s="224">
        <f t="shared" si="68"/>
        <v>10.5</v>
      </c>
      <c r="AH208" s="257">
        <f t="shared" si="70"/>
        <v>0</v>
      </c>
      <c r="AI208" s="258">
        <f t="shared" si="71"/>
        <v>0</v>
      </c>
      <c r="AJ208" s="55">
        <f>SUMIFS('tuot-INFO'!W:W,'tuot-INFO'!$A:$A,'tuot-PVÄ'!B208)</f>
        <v>87.512999999999991</v>
      </c>
      <c r="AK208" s="55">
        <f>SUMIFS('tuot-INFO'!X:X,'tuot-INFO'!$A:$A,'tuot-PVÄ'!B208)</f>
        <v>9.4099999999999966</v>
      </c>
    </row>
    <row r="209" spans="1:37" x14ac:dyDescent="0.25">
      <c r="A209" s="169">
        <f t="shared" si="69"/>
        <v>42695</v>
      </c>
      <c r="B209" s="23">
        <f>ROUNDUP((A209-Yleistiedot!$B$4)/7,0)</f>
        <v>47</v>
      </c>
      <c r="C209" s="16"/>
      <c r="D209" s="25"/>
      <c r="E209" s="25"/>
      <c r="F209" s="25"/>
      <c r="G209" s="25"/>
      <c r="H209" s="25"/>
      <c r="I209" s="65">
        <f t="shared" si="64"/>
        <v>0</v>
      </c>
      <c r="J209" s="26"/>
      <c r="K209" s="25"/>
      <c r="L209" s="16"/>
      <c r="M209" s="16"/>
      <c r="N209" s="25"/>
      <c r="O209" s="30"/>
      <c r="P209" s="252">
        <f t="shared" si="60"/>
        <v>9990</v>
      </c>
      <c r="Q209" s="253">
        <f t="shared" si="61"/>
        <v>0</v>
      </c>
      <c r="R209" s="253">
        <f t="shared" si="62"/>
        <v>0</v>
      </c>
      <c r="S209" s="251">
        <f>SUMIFS('tuot-rehukirjanpito'!D:D,'tuot-rehukirjanpito'!A:A,A209)</f>
        <v>0</v>
      </c>
      <c r="T209" s="254">
        <f t="shared" si="72"/>
        <v>1098.9000000000001</v>
      </c>
      <c r="U209" s="254">
        <f t="shared" si="73"/>
        <v>1098.8999999999999</v>
      </c>
      <c r="V209" s="252">
        <f t="shared" si="74"/>
        <v>-227472.2999999992</v>
      </c>
      <c r="W209" s="255">
        <f t="shared" si="75"/>
        <v>-206.99999999999926</v>
      </c>
      <c r="X209" s="256" t="str">
        <f t="shared" si="57"/>
        <v/>
      </c>
      <c r="Y209" s="256" t="str">
        <f t="shared" si="58"/>
        <v/>
      </c>
      <c r="Z209" s="224" t="str">
        <f>IF(IFERROR(INDEX('tuot-rehukirjanpito'!I:I,MATCH(A209,'tuot-rehukirjanpito'!G:G,0)),)=0,"",INDEX('tuot-rehukirjanpito'!I:I,MATCH(A209,'tuot-rehukirjanpito'!G:G,0)))</f>
        <v/>
      </c>
      <c r="AA209" s="224">
        <f>SUMIFS('tuot-INFO'!$K$10:$K$115,'tuot-INFO'!$A$10:$A$115,'tuot-PVÄ'!B209)</f>
        <v>64.2</v>
      </c>
      <c r="AB209" s="224">
        <f>SUMIFS('rehu-vesi-INFO'!$R:$R,'rehu-vesi-INFO'!$A:$A,'tuot-PVÄ'!B209)</f>
        <v>1695</v>
      </c>
      <c r="AC209" s="224">
        <f>SUMIFS('rehu-vesi-INFO'!$S:$S,'rehu-vesi-INFO'!$A:$A,'tuot-PVÄ'!B209)</f>
        <v>1800</v>
      </c>
      <c r="AD209" s="224">
        <f t="shared" si="65"/>
        <v>105</v>
      </c>
      <c r="AE209" s="224">
        <f t="shared" si="66"/>
        <v>0</v>
      </c>
      <c r="AF209" s="224">
        <f t="shared" si="67"/>
        <v>169.5</v>
      </c>
      <c r="AG209" s="224">
        <f t="shared" si="68"/>
        <v>10.5</v>
      </c>
      <c r="AH209" s="257">
        <f t="shared" si="70"/>
        <v>0</v>
      </c>
      <c r="AI209" s="258">
        <f t="shared" si="71"/>
        <v>0</v>
      </c>
      <c r="AJ209" s="55">
        <f>SUMIFS('tuot-INFO'!W:W,'tuot-INFO'!$A:$A,'tuot-PVÄ'!B209)</f>
        <v>87.512999999999991</v>
      </c>
      <c r="AK209" s="55">
        <f>SUMIFS('tuot-INFO'!X:X,'tuot-INFO'!$A:$A,'tuot-PVÄ'!B209)</f>
        <v>9.4099999999999966</v>
      </c>
    </row>
    <row r="210" spans="1:37" x14ac:dyDescent="0.25">
      <c r="A210" s="169">
        <f t="shared" si="69"/>
        <v>42696</v>
      </c>
      <c r="B210" s="23">
        <f>ROUNDUP((A210-Yleistiedot!$B$4)/7,0)</f>
        <v>47</v>
      </c>
      <c r="C210" s="16"/>
      <c r="D210" s="25"/>
      <c r="E210" s="25"/>
      <c r="F210" s="25"/>
      <c r="G210" s="25"/>
      <c r="H210" s="25"/>
      <c r="I210" s="65">
        <f t="shared" si="64"/>
        <v>0</v>
      </c>
      <c r="J210" s="26"/>
      <c r="K210" s="25"/>
      <c r="L210" s="16"/>
      <c r="M210" s="16"/>
      <c r="N210" s="25"/>
      <c r="O210" s="30"/>
      <c r="P210" s="252">
        <f t="shared" si="60"/>
        <v>9990</v>
      </c>
      <c r="Q210" s="253">
        <f t="shared" si="61"/>
        <v>0</v>
      </c>
      <c r="R210" s="253">
        <f t="shared" si="62"/>
        <v>0</v>
      </c>
      <c r="S210" s="251">
        <f>SUMIFS('tuot-rehukirjanpito'!D:D,'tuot-rehukirjanpito'!A:A,A210)</f>
        <v>0</v>
      </c>
      <c r="T210" s="254">
        <f t="shared" si="72"/>
        <v>1098.9000000000001</v>
      </c>
      <c r="U210" s="254">
        <f t="shared" si="73"/>
        <v>1098.8999999999999</v>
      </c>
      <c r="V210" s="252">
        <f t="shared" si="74"/>
        <v>-228571.1999999992</v>
      </c>
      <c r="W210" s="255">
        <f t="shared" si="75"/>
        <v>-207.99999999999926</v>
      </c>
      <c r="X210" s="256" t="str">
        <f t="shared" si="57"/>
        <v/>
      </c>
      <c r="Y210" s="256" t="str">
        <f t="shared" si="58"/>
        <v/>
      </c>
      <c r="Z210" s="224" t="str">
        <f>IF(IFERROR(INDEX('tuot-rehukirjanpito'!I:I,MATCH(A210,'tuot-rehukirjanpito'!G:G,0)),)=0,"",INDEX('tuot-rehukirjanpito'!I:I,MATCH(A210,'tuot-rehukirjanpito'!G:G,0)))</f>
        <v/>
      </c>
      <c r="AA210" s="224">
        <f>SUMIFS('tuot-INFO'!$K$10:$K$115,'tuot-INFO'!$A$10:$A$115,'tuot-PVÄ'!B210)</f>
        <v>64.2</v>
      </c>
      <c r="AB210" s="224">
        <f>SUMIFS('rehu-vesi-INFO'!$R:$R,'rehu-vesi-INFO'!$A:$A,'tuot-PVÄ'!B210)</f>
        <v>1695</v>
      </c>
      <c r="AC210" s="224">
        <f>SUMIFS('rehu-vesi-INFO'!$S:$S,'rehu-vesi-INFO'!$A:$A,'tuot-PVÄ'!B210)</f>
        <v>1800</v>
      </c>
      <c r="AD210" s="224">
        <f t="shared" si="65"/>
        <v>105</v>
      </c>
      <c r="AE210" s="224">
        <f t="shared" si="66"/>
        <v>0</v>
      </c>
      <c r="AF210" s="224">
        <f t="shared" si="67"/>
        <v>169.5</v>
      </c>
      <c r="AG210" s="224">
        <f t="shared" si="68"/>
        <v>10.5</v>
      </c>
      <c r="AH210" s="257">
        <f t="shared" si="70"/>
        <v>0</v>
      </c>
      <c r="AI210" s="258">
        <f t="shared" si="71"/>
        <v>0</v>
      </c>
      <c r="AJ210" s="55">
        <f>SUMIFS('tuot-INFO'!W:W,'tuot-INFO'!$A:$A,'tuot-PVÄ'!B210)</f>
        <v>87.512999999999991</v>
      </c>
      <c r="AK210" s="55">
        <f>SUMIFS('tuot-INFO'!X:X,'tuot-INFO'!$A:$A,'tuot-PVÄ'!B210)</f>
        <v>9.4099999999999966</v>
      </c>
    </row>
    <row r="211" spans="1:37" x14ac:dyDescent="0.25">
      <c r="A211" s="169">
        <f t="shared" si="69"/>
        <v>42697</v>
      </c>
      <c r="B211" s="23">
        <f>ROUNDUP((A211-Yleistiedot!$B$4)/7,0)</f>
        <v>47</v>
      </c>
      <c r="C211" s="16"/>
      <c r="D211" s="25"/>
      <c r="E211" s="25"/>
      <c r="F211" s="25"/>
      <c r="G211" s="25"/>
      <c r="H211" s="25"/>
      <c r="I211" s="65">
        <f t="shared" si="64"/>
        <v>0</v>
      </c>
      <c r="J211" s="26"/>
      <c r="K211" s="25"/>
      <c r="L211" s="16"/>
      <c r="M211" s="16"/>
      <c r="N211" s="25"/>
      <c r="O211" s="30"/>
      <c r="P211" s="252">
        <f t="shared" ref="P211:P274" si="76">P210-C211</f>
        <v>9990</v>
      </c>
      <c r="Q211" s="253">
        <f t="shared" ref="Q211:Q274" si="77">D211/P211*100</f>
        <v>0</v>
      </c>
      <c r="R211" s="253">
        <f t="shared" ref="R211:R274" si="78">I211/P211*100</f>
        <v>0</v>
      </c>
      <c r="S211" s="251">
        <f>SUMIFS('tuot-rehukirjanpito'!D:D,'tuot-rehukirjanpito'!A:A,A211)</f>
        <v>0</v>
      </c>
      <c r="T211" s="254">
        <f t="shared" si="72"/>
        <v>1098.9000000000001</v>
      </c>
      <c r="U211" s="254">
        <f t="shared" si="73"/>
        <v>1098.8999999999999</v>
      </c>
      <c r="V211" s="252">
        <f t="shared" si="74"/>
        <v>-229670.09999999919</v>
      </c>
      <c r="W211" s="255">
        <f t="shared" si="75"/>
        <v>-208.99999999999923</v>
      </c>
      <c r="X211" s="256" t="str">
        <f t="shared" si="57"/>
        <v/>
      </c>
      <c r="Y211" s="256" t="str">
        <f t="shared" si="58"/>
        <v/>
      </c>
      <c r="Z211" s="224" t="str">
        <f>IF(IFERROR(INDEX('tuot-rehukirjanpito'!I:I,MATCH(A211,'tuot-rehukirjanpito'!G:G,0)),)=0,"",INDEX('tuot-rehukirjanpito'!I:I,MATCH(A211,'tuot-rehukirjanpito'!G:G,0)))</f>
        <v/>
      </c>
      <c r="AA211" s="224">
        <f>SUMIFS('tuot-INFO'!$K$10:$K$115,'tuot-INFO'!$A$10:$A$115,'tuot-PVÄ'!B211)</f>
        <v>64.2</v>
      </c>
      <c r="AB211" s="224">
        <f>SUMIFS('rehu-vesi-INFO'!$R:$R,'rehu-vesi-INFO'!$A:$A,'tuot-PVÄ'!B211)</f>
        <v>1695</v>
      </c>
      <c r="AC211" s="224">
        <f>SUMIFS('rehu-vesi-INFO'!$S:$S,'rehu-vesi-INFO'!$A:$A,'tuot-PVÄ'!B211)</f>
        <v>1800</v>
      </c>
      <c r="AD211" s="224">
        <f t="shared" si="65"/>
        <v>105</v>
      </c>
      <c r="AE211" s="224">
        <f t="shared" si="66"/>
        <v>0</v>
      </c>
      <c r="AF211" s="224">
        <f t="shared" si="67"/>
        <v>169.5</v>
      </c>
      <c r="AG211" s="224">
        <f t="shared" si="68"/>
        <v>10.5</v>
      </c>
      <c r="AH211" s="257">
        <f t="shared" si="70"/>
        <v>0</v>
      </c>
      <c r="AI211" s="258">
        <f t="shared" si="71"/>
        <v>0</v>
      </c>
      <c r="AJ211" s="55">
        <f>SUMIFS('tuot-INFO'!W:W,'tuot-INFO'!$A:$A,'tuot-PVÄ'!B211)</f>
        <v>87.512999999999991</v>
      </c>
      <c r="AK211" s="55">
        <f>SUMIFS('tuot-INFO'!X:X,'tuot-INFO'!$A:$A,'tuot-PVÄ'!B211)</f>
        <v>9.4099999999999966</v>
      </c>
    </row>
    <row r="212" spans="1:37" x14ac:dyDescent="0.25">
      <c r="A212" s="169">
        <f t="shared" si="69"/>
        <v>42698</v>
      </c>
      <c r="B212" s="23">
        <f>ROUNDUP((A212-Yleistiedot!$B$4)/7,0)</f>
        <v>47</v>
      </c>
      <c r="C212" s="16"/>
      <c r="D212" s="25"/>
      <c r="E212" s="25"/>
      <c r="F212" s="25"/>
      <c r="G212" s="25"/>
      <c r="H212" s="25"/>
      <c r="I212" s="65">
        <f t="shared" si="64"/>
        <v>0</v>
      </c>
      <c r="J212" s="26"/>
      <c r="K212" s="25"/>
      <c r="L212" s="16"/>
      <c r="M212" s="16"/>
      <c r="N212" s="25"/>
      <c r="O212" s="30"/>
      <c r="P212" s="252">
        <f t="shared" si="76"/>
        <v>9990</v>
      </c>
      <c r="Q212" s="253">
        <f t="shared" si="77"/>
        <v>0</v>
      </c>
      <c r="R212" s="253">
        <f t="shared" si="78"/>
        <v>0</v>
      </c>
      <c r="S212" s="251">
        <f>SUMIFS('tuot-rehukirjanpito'!D:D,'tuot-rehukirjanpito'!A:A,A212)</f>
        <v>0</v>
      </c>
      <c r="T212" s="254">
        <f t="shared" si="72"/>
        <v>1098.9000000000001</v>
      </c>
      <c r="U212" s="254">
        <f t="shared" si="73"/>
        <v>1098.8999999999999</v>
      </c>
      <c r="V212" s="252">
        <f t="shared" si="74"/>
        <v>-230768.99999999919</v>
      </c>
      <c r="W212" s="255">
        <f t="shared" si="75"/>
        <v>-209.99999999999923</v>
      </c>
      <c r="X212" s="256" t="str">
        <f t="shared" si="57"/>
        <v/>
      </c>
      <c r="Y212" s="256" t="str">
        <f t="shared" si="58"/>
        <v/>
      </c>
      <c r="Z212" s="224" t="str">
        <f>IF(IFERROR(INDEX('tuot-rehukirjanpito'!I:I,MATCH(A212,'tuot-rehukirjanpito'!G:G,0)),)=0,"",INDEX('tuot-rehukirjanpito'!I:I,MATCH(A212,'tuot-rehukirjanpito'!G:G,0)))</f>
        <v/>
      </c>
      <c r="AA212" s="224">
        <f>SUMIFS('tuot-INFO'!$K$10:$K$115,'tuot-INFO'!$A$10:$A$115,'tuot-PVÄ'!B212)</f>
        <v>64.2</v>
      </c>
      <c r="AB212" s="224">
        <f>SUMIFS('rehu-vesi-INFO'!$R:$R,'rehu-vesi-INFO'!$A:$A,'tuot-PVÄ'!B212)</f>
        <v>1695</v>
      </c>
      <c r="AC212" s="224">
        <f>SUMIFS('rehu-vesi-INFO'!$S:$S,'rehu-vesi-INFO'!$A:$A,'tuot-PVÄ'!B212)</f>
        <v>1800</v>
      </c>
      <c r="AD212" s="224">
        <f t="shared" si="65"/>
        <v>105</v>
      </c>
      <c r="AE212" s="224">
        <f t="shared" si="66"/>
        <v>0</v>
      </c>
      <c r="AF212" s="224">
        <f t="shared" si="67"/>
        <v>169.5</v>
      </c>
      <c r="AG212" s="224">
        <f t="shared" si="68"/>
        <v>10.5</v>
      </c>
      <c r="AH212" s="257">
        <f t="shared" si="70"/>
        <v>0</v>
      </c>
      <c r="AI212" s="258">
        <f t="shared" si="71"/>
        <v>0</v>
      </c>
      <c r="AJ212" s="55">
        <f>SUMIFS('tuot-INFO'!W:W,'tuot-INFO'!$A:$A,'tuot-PVÄ'!B212)</f>
        <v>87.512999999999991</v>
      </c>
      <c r="AK212" s="55">
        <f>SUMIFS('tuot-INFO'!X:X,'tuot-INFO'!$A:$A,'tuot-PVÄ'!B212)</f>
        <v>9.4099999999999966</v>
      </c>
    </row>
    <row r="213" spans="1:37" x14ac:dyDescent="0.25">
      <c r="A213" s="169">
        <f t="shared" si="69"/>
        <v>42699</v>
      </c>
      <c r="B213" s="23">
        <f>ROUNDUP((A213-Yleistiedot!$B$4)/7,0)</f>
        <v>47</v>
      </c>
      <c r="C213" s="16"/>
      <c r="D213" s="25"/>
      <c r="E213" s="25"/>
      <c r="F213" s="25"/>
      <c r="G213" s="25"/>
      <c r="H213" s="25"/>
      <c r="I213" s="65">
        <f t="shared" si="64"/>
        <v>0</v>
      </c>
      <c r="J213" s="26"/>
      <c r="K213" s="25"/>
      <c r="L213" s="16"/>
      <c r="M213" s="16"/>
      <c r="N213" s="25"/>
      <c r="O213" s="30"/>
      <c r="P213" s="252">
        <f t="shared" si="76"/>
        <v>9990</v>
      </c>
      <c r="Q213" s="253">
        <f t="shared" si="77"/>
        <v>0</v>
      </c>
      <c r="R213" s="253">
        <f t="shared" si="78"/>
        <v>0</v>
      </c>
      <c r="S213" s="251">
        <f>SUMIFS('tuot-rehukirjanpito'!D:D,'tuot-rehukirjanpito'!A:A,A213)</f>
        <v>0</v>
      </c>
      <c r="T213" s="254">
        <f t="shared" si="72"/>
        <v>1098.9000000000001</v>
      </c>
      <c r="U213" s="254">
        <f t="shared" si="73"/>
        <v>1098.8999999999999</v>
      </c>
      <c r="V213" s="252">
        <f t="shared" si="74"/>
        <v>-231867.89999999918</v>
      </c>
      <c r="W213" s="255">
        <f t="shared" si="75"/>
        <v>-210.99999999999923</v>
      </c>
      <c r="X213" s="256" t="str">
        <f t="shared" si="57"/>
        <v/>
      </c>
      <c r="Y213" s="256" t="str">
        <f t="shared" si="58"/>
        <v/>
      </c>
      <c r="Z213" s="224" t="str">
        <f>IF(IFERROR(INDEX('tuot-rehukirjanpito'!I:I,MATCH(A213,'tuot-rehukirjanpito'!G:G,0)),)=0,"",INDEX('tuot-rehukirjanpito'!I:I,MATCH(A213,'tuot-rehukirjanpito'!G:G,0)))</f>
        <v/>
      </c>
      <c r="AA213" s="224">
        <f>SUMIFS('tuot-INFO'!$K$10:$K$115,'tuot-INFO'!$A$10:$A$115,'tuot-PVÄ'!B213)</f>
        <v>64.2</v>
      </c>
      <c r="AB213" s="224">
        <f>SUMIFS('rehu-vesi-INFO'!$R:$R,'rehu-vesi-INFO'!$A:$A,'tuot-PVÄ'!B213)</f>
        <v>1695</v>
      </c>
      <c r="AC213" s="224">
        <f>SUMIFS('rehu-vesi-INFO'!$S:$S,'rehu-vesi-INFO'!$A:$A,'tuot-PVÄ'!B213)</f>
        <v>1800</v>
      </c>
      <c r="AD213" s="224">
        <f t="shared" si="65"/>
        <v>105</v>
      </c>
      <c r="AE213" s="224">
        <f t="shared" si="66"/>
        <v>0</v>
      </c>
      <c r="AF213" s="224">
        <f t="shared" si="67"/>
        <v>169.5</v>
      </c>
      <c r="AG213" s="224">
        <f t="shared" si="68"/>
        <v>10.5</v>
      </c>
      <c r="AH213" s="257">
        <f t="shared" si="70"/>
        <v>0</v>
      </c>
      <c r="AI213" s="258">
        <f t="shared" si="71"/>
        <v>0</v>
      </c>
      <c r="AJ213" s="55">
        <f>SUMIFS('tuot-INFO'!W:W,'tuot-INFO'!$A:$A,'tuot-PVÄ'!B213)</f>
        <v>87.512999999999991</v>
      </c>
      <c r="AK213" s="55">
        <f>SUMIFS('tuot-INFO'!X:X,'tuot-INFO'!$A:$A,'tuot-PVÄ'!B213)</f>
        <v>9.4099999999999966</v>
      </c>
    </row>
    <row r="214" spans="1:37" x14ac:dyDescent="0.25">
      <c r="A214" s="169">
        <f t="shared" si="69"/>
        <v>42700</v>
      </c>
      <c r="B214" s="23">
        <f>ROUNDUP((A214-Yleistiedot!$B$4)/7,0)</f>
        <v>48</v>
      </c>
      <c r="C214" s="16"/>
      <c r="D214" s="25"/>
      <c r="E214" s="25"/>
      <c r="F214" s="25"/>
      <c r="G214" s="25"/>
      <c r="H214" s="25"/>
      <c r="I214" s="65">
        <f t="shared" si="64"/>
        <v>0</v>
      </c>
      <c r="J214" s="26"/>
      <c r="K214" s="25"/>
      <c r="L214" s="16"/>
      <c r="M214" s="16"/>
      <c r="N214" s="25"/>
      <c r="O214" s="30"/>
      <c r="P214" s="252">
        <f t="shared" si="76"/>
        <v>9990</v>
      </c>
      <c r="Q214" s="253">
        <f t="shared" si="77"/>
        <v>0</v>
      </c>
      <c r="R214" s="253">
        <f t="shared" si="78"/>
        <v>0</v>
      </c>
      <c r="S214" s="251">
        <f>SUMIFS('tuot-rehukirjanpito'!D:D,'tuot-rehukirjanpito'!A:A,A214)</f>
        <v>0</v>
      </c>
      <c r="T214" s="254">
        <f t="shared" si="72"/>
        <v>1098.9000000000001</v>
      </c>
      <c r="U214" s="254">
        <f t="shared" si="73"/>
        <v>1098.8999999999999</v>
      </c>
      <c r="V214" s="252">
        <f t="shared" si="74"/>
        <v>-232966.79999999917</v>
      </c>
      <c r="W214" s="255">
        <f t="shared" si="75"/>
        <v>-211.99999999999923</v>
      </c>
      <c r="X214" s="256" t="str">
        <f t="shared" si="57"/>
        <v/>
      </c>
      <c r="Y214" s="256" t="str">
        <f t="shared" si="58"/>
        <v/>
      </c>
      <c r="Z214" s="224" t="str">
        <f>IF(IFERROR(INDEX('tuot-rehukirjanpito'!I:I,MATCH(A214,'tuot-rehukirjanpito'!G:G,0)),)=0,"",INDEX('tuot-rehukirjanpito'!I:I,MATCH(A214,'tuot-rehukirjanpito'!G:G,0)))</f>
        <v/>
      </c>
      <c r="AA214" s="224">
        <f>SUMIFS('tuot-INFO'!$K$10:$K$115,'tuot-INFO'!$A$10:$A$115,'tuot-PVÄ'!B214)</f>
        <v>64.400000000000006</v>
      </c>
      <c r="AB214" s="224">
        <f>SUMIFS('rehu-vesi-INFO'!$R:$R,'rehu-vesi-INFO'!$A:$A,'tuot-PVÄ'!B214)</f>
        <v>1698</v>
      </c>
      <c r="AC214" s="224">
        <f>SUMIFS('rehu-vesi-INFO'!$S:$S,'rehu-vesi-INFO'!$A:$A,'tuot-PVÄ'!B214)</f>
        <v>1803</v>
      </c>
      <c r="AD214" s="224">
        <f t="shared" si="65"/>
        <v>105</v>
      </c>
      <c r="AE214" s="224">
        <f t="shared" si="66"/>
        <v>0</v>
      </c>
      <c r="AF214" s="224">
        <f t="shared" si="67"/>
        <v>169.8</v>
      </c>
      <c r="AG214" s="224">
        <f t="shared" si="68"/>
        <v>10.5</v>
      </c>
      <c r="AH214" s="257">
        <f t="shared" si="70"/>
        <v>0</v>
      </c>
      <c r="AI214" s="258">
        <f t="shared" si="71"/>
        <v>0</v>
      </c>
      <c r="AJ214" s="55">
        <f>SUMIFS('tuot-INFO'!W:W,'tuot-INFO'!$A:$A,'tuot-PVÄ'!B214)</f>
        <v>87.233999999999995</v>
      </c>
      <c r="AK214" s="55">
        <f>SUMIFS('tuot-INFO'!X:X,'tuot-INFO'!$A:$A,'tuot-PVÄ'!B214)</f>
        <v>9.3799999999999955</v>
      </c>
    </row>
    <row r="215" spans="1:37" x14ac:dyDescent="0.25">
      <c r="A215" s="169">
        <f t="shared" si="69"/>
        <v>42701</v>
      </c>
      <c r="B215" s="23">
        <f>ROUNDUP((A215-Yleistiedot!$B$4)/7,0)</f>
        <v>48</v>
      </c>
      <c r="C215" s="16"/>
      <c r="D215" s="25"/>
      <c r="E215" s="25"/>
      <c r="F215" s="25"/>
      <c r="G215" s="25"/>
      <c r="H215" s="25"/>
      <c r="I215" s="65">
        <f t="shared" si="64"/>
        <v>0</v>
      </c>
      <c r="J215" s="26"/>
      <c r="K215" s="25"/>
      <c r="L215" s="16"/>
      <c r="M215" s="16"/>
      <c r="N215" s="25"/>
      <c r="O215" s="30"/>
      <c r="P215" s="252">
        <f t="shared" si="76"/>
        <v>9990</v>
      </c>
      <c r="Q215" s="253">
        <f t="shared" si="77"/>
        <v>0</v>
      </c>
      <c r="R215" s="253">
        <f t="shared" si="78"/>
        <v>0</v>
      </c>
      <c r="S215" s="251">
        <f>SUMIFS('tuot-rehukirjanpito'!D:D,'tuot-rehukirjanpito'!A:A,A215)</f>
        <v>0</v>
      </c>
      <c r="T215" s="254">
        <f t="shared" si="72"/>
        <v>1098.9000000000001</v>
      </c>
      <c r="U215" s="254">
        <f t="shared" si="73"/>
        <v>1098.8999999999999</v>
      </c>
      <c r="V215" s="252">
        <f t="shared" si="74"/>
        <v>-234065.69999999917</v>
      </c>
      <c r="W215" s="255">
        <f t="shared" si="75"/>
        <v>-212.99999999999923</v>
      </c>
      <c r="X215" s="256" t="str">
        <f t="shared" ref="X215:X278" si="79">IF(S215&lt;&gt;0,ROUND(A215+W214,0),"")</f>
        <v/>
      </c>
      <c r="Y215" s="256" t="str">
        <f t="shared" ref="Y215:Y278" si="80">IF(S215&lt;&gt;0,ROUND(A215+W215,0),"")</f>
        <v/>
      </c>
      <c r="Z215" s="224" t="str">
        <f>IF(IFERROR(INDEX('tuot-rehukirjanpito'!I:I,MATCH(A215,'tuot-rehukirjanpito'!G:G,0)),)=0,"",INDEX('tuot-rehukirjanpito'!I:I,MATCH(A215,'tuot-rehukirjanpito'!G:G,0)))</f>
        <v/>
      </c>
      <c r="AA215" s="224">
        <f>SUMIFS('tuot-INFO'!$K$10:$K$115,'tuot-INFO'!$A$10:$A$115,'tuot-PVÄ'!B215)</f>
        <v>64.400000000000006</v>
      </c>
      <c r="AB215" s="224">
        <f>SUMIFS('rehu-vesi-INFO'!$R:$R,'rehu-vesi-INFO'!$A:$A,'tuot-PVÄ'!B215)</f>
        <v>1698</v>
      </c>
      <c r="AC215" s="224">
        <f>SUMIFS('rehu-vesi-INFO'!$S:$S,'rehu-vesi-INFO'!$A:$A,'tuot-PVÄ'!B215)</f>
        <v>1803</v>
      </c>
      <c r="AD215" s="224">
        <f t="shared" si="65"/>
        <v>105</v>
      </c>
      <c r="AE215" s="224">
        <f t="shared" si="66"/>
        <v>0</v>
      </c>
      <c r="AF215" s="224">
        <f t="shared" si="67"/>
        <v>169.8</v>
      </c>
      <c r="AG215" s="224">
        <f t="shared" si="68"/>
        <v>10.5</v>
      </c>
      <c r="AH215" s="257">
        <f t="shared" si="70"/>
        <v>0</v>
      </c>
      <c r="AI215" s="258">
        <f t="shared" si="71"/>
        <v>0</v>
      </c>
      <c r="AJ215" s="55">
        <f>SUMIFS('tuot-INFO'!W:W,'tuot-INFO'!$A:$A,'tuot-PVÄ'!B215)</f>
        <v>87.233999999999995</v>
      </c>
      <c r="AK215" s="55">
        <f>SUMIFS('tuot-INFO'!X:X,'tuot-INFO'!$A:$A,'tuot-PVÄ'!B215)</f>
        <v>9.3799999999999955</v>
      </c>
    </row>
    <row r="216" spans="1:37" x14ac:dyDescent="0.25">
      <c r="A216" s="169">
        <f t="shared" si="69"/>
        <v>42702</v>
      </c>
      <c r="B216" s="23">
        <f>ROUNDUP((A216-Yleistiedot!$B$4)/7,0)</f>
        <v>48</v>
      </c>
      <c r="C216" s="16"/>
      <c r="D216" s="25"/>
      <c r="E216" s="25"/>
      <c r="F216" s="25"/>
      <c r="G216" s="25"/>
      <c r="H216" s="25"/>
      <c r="I216" s="65">
        <f t="shared" si="64"/>
        <v>0</v>
      </c>
      <c r="J216" s="26"/>
      <c r="K216" s="25"/>
      <c r="L216" s="16"/>
      <c r="M216" s="16"/>
      <c r="N216" s="25"/>
      <c r="O216" s="30"/>
      <c r="P216" s="252">
        <f t="shared" si="76"/>
        <v>9990</v>
      </c>
      <c r="Q216" s="253">
        <f t="shared" si="77"/>
        <v>0</v>
      </c>
      <c r="R216" s="253">
        <f t="shared" si="78"/>
        <v>0</v>
      </c>
      <c r="S216" s="251">
        <f>SUMIFS('tuot-rehukirjanpito'!D:D,'tuot-rehukirjanpito'!A:A,A216)</f>
        <v>0</v>
      </c>
      <c r="T216" s="254">
        <f t="shared" si="72"/>
        <v>1098.9000000000001</v>
      </c>
      <c r="U216" s="254">
        <f t="shared" si="73"/>
        <v>1098.8999999999999</v>
      </c>
      <c r="V216" s="252">
        <f t="shared" si="74"/>
        <v>-235164.59999999916</v>
      </c>
      <c r="W216" s="255">
        <f t="shared" si="75"/>
        <v>-213.99999999999923</v>
      </c>
      <c r="X216" s="256" t="str">
        <f t="shared" si="79"/>
        <v/>
      </c>
      <c r="Y216" s="256" t="str">
        <f t="shared" si="80"/>
        <v/>
      </c>
      <c r="Z216" s="224" t="str">
        <f>IF(IFERROR(INDEX('tuot-rehukirjanpito'!I:I,MATCH(A216,'tuot-rehukirjanpito'!G:G,0)),)=0,"",INDEX('tuot-rehukirjanpito'!I:I,MATCH(A216,'tuot-rehukirjanpito'!G:G,0)))</f>
        <v/>
      </c>
      <c r="AA216" s="224">
        <f>SUMIFS('tuot-INFO'!$K$10:$K$115,'tuot-INFO'!$A$10:$A$115,'tuot-PVÄ'!B216)</f>
        <v>64.400000000000006</v>
      </c>
      <c r="AB216" s="224">
        <f>SUMIFS('rehu-vesi-INFO'!$R:$R,'rehu-vesi-INFO'!$A:$A,'tuot-PVÄ'!B216)</f>
        <v>1698</v>
      </c>
      <c r="AC216" s="224">
        <f>SUMIFS('rehu-vesi-INFO'!$S:$S,'rehu-vesi-INFO'!$A:$A,'tuot-PVÄ'!B216)</f>
        <v>1803</v>
      </c>
      <c r="AD216" s="224">
        <f t="shared" si="65"/>
        <v>105</v>
      </c>
      <c r="AE216" s="224">
        <f t="shared" si="66"/>
        <v>0</v>
      </c>
      <c r="AF216" s="224">
        <f t="shared" si="67"/>
        <v>169.8</v>
      </c>
      <c r="AG216" s="224">
        <f t="shared" si="68"/>
        <v>10.5</v>
      </c>
      <c r="AH216" s="257">
        <f t="shared" si="70"/>
        <v>0</v>
      </c>
      <c r="AI216" s="258">
        <f t="shared" si="71"/>
        <v>0</v>
      </c>
      <c r="AJ216" s="55">
        <f>SUMIFS('tuot-INFO'!W:W,'tuot-INFO'!$A:$A,'tuot-PVÄ'!B216)</f>
        <v>87.233999999999995</v>
      </c>
      <c r="AK216" s="55">
        <f>SUMIFS('tuot-INFO'!X:X,'tuot-INFO'!$A:$A,'tuot-PVÄ'!B216)</f>
        <v>9.3799999999999955</v>
      </c>
    </row>
    <row r="217" spans="1:37" x14ac:dyDescent="0.25">
      <c r="A217" s="169">
        <f t="shared" si="69"/>
        <v>42703</v>
      </c>
      <c r="B217" s="23">
        <f>ROUNDUP((A217-Yleistiedot!$B$4)/7,0)</f>
        <v>48</v>
      </c>
      <c r="C217" s="16"/>
      <c r="D217" s="25"/>
      <c r="E217" s="25"/>
      <c r="F217" s="25"/>
      <c r="G217" s="25"/>
      <c r="H217" s="25"/>
      <c r="I217" s="65">
        <f t="shared" si="64"/>
        <v>0</v>
      </c>
      <c r="J217" s="26"/>
      <c r="K217" s="25"/>
      <c r="L217" s="16"/>
      <c r="M217" s="16"/>
      <c r="N217" s="25"/>
      <c r="O217" s="30"/>
      <c r="P217" s="252">
        <f t="shared" si="76"/>
        <v>9990</v>
      </c>
      <c r="Q217" s="253">
        <f t="shared" si="77"/>
        <v>0</v>
      </c>
      <c r="R217" s="253">
        <f t="shared" si="78"/>
        <v>0</v>
      </c>
      <c r="S217" s="251">
        <f>SUMIFS('tuot-rehukirjanpito'!D:D,'tuot-rehukirjanpito'!A:A,A217)</f>
        <v>0</v>
      </c>
      <c r="T217" s="254">
        <f t="shared" si="72"/>
        <v>1098.9000000000001</v>
      </c>
      <c r="U217" s="254">
        <f t="shared" si="73"/>
        <v>1098.8999999999999</v>
      </c>
      <c r="V217" s="252">
        <f t="shared" si="74"/>
        <v>-236263.49999999916</v>
      </c>
      <c r="W217" s="255">
        <f t="shared" si="75"/>
        <v>-214.9999999999992</v>
      </c>
      <c r="X217" s="256" t="str">
        <f t="shared" si="79"/>
        <v/>
      </c>
      <c r="Y217" s="256" t="str">
        <f t="shared" si="80"/>
        <v/>
      </c>
      <c r="Z217" s="224" t="str">
        <f>IF(IFERROR(INDEX('tuot-rehukirjanpito'!I:I,MATCH(A217,'tuot-rehukirjanpito'!G:G,0)),)=0,"",INDEX('tuot-rehukirjanpito'!I:I,MATCH(A217,'tuot-rehukirjanpito'!G:G,0)))</f>
        <v/>
      </c>
      <c r="AA217" s="224">
        <f>SUMIFS('tuot-INFO'!$K$10:$K$115,'tuot-INFO'!$A$10:$A$115,'tuot-PVÄ'!B217)</f>
        <v>64.400000000000006</v>
      </c>
      <c r="AB217" s="224">
        <f>SUMIFS('rehu-vesi-INFO'!$R:$R,'rehu-vesi-INFO'!$A:$A,'tuot-PVÄ'!B217)</f>
        <v>1698</v>
      </c>
      <c r="AC217" s="224">
        <f>SUMIFS('rehu-vesi-INFO'!$S:$S,'rehu-vesi-INFO'!$A:$A,'tuot-PVÄ'!B217)</f>
        <v>1803</v>
      </c>
      <c r="AD217" s="224">
        <f t="shared" si="65"/>
        <v>105</v>
      </c>
      <c r="AE217" s="224">
        <f t="shared" si="66"/>
        <v>0</v>
      </c>
      <c r="AF217" s="224">
        <f t="shared" si="67"/>
        <v>169.8</v>
      </c>
      <c r="AG217" s="224">
        <f t="shared" si="68"/>
        <v>10.5</v>
      </c>
      <c r="AH217" s="257">
        <f t="shared" si="70"/>
        <v>0</v>
      </c>
      <c r="AI217" s="258">
        <f t="shared" si="71"/>
        <v>0</v>
      </c>
      <c r="AJ217" s="55">
        <f>SUMIFS('tuot-INFO'!W:W,'tuot-INFO'!$A:$A,'tuot-PVÄ'!B217)</f>
        <v>87.233999999999995</v>
      </c>
      <c r="AK217" s="55">
        <f>SUMIFS('tuot-INFO'!X:X,'tuot-INFO'!$A:$A,'tuot-PVÄ'!B217)</f>
        <v>9.3799999999999955</v>
      </c>
    </row>
    <row r="218" spans="1:37" x14ac:dyDescent="0.25">
      <c r="A218" s="169">
        <f t="shared" si="69"/>
        <v>42704</v>
      </c>
      <c r="B218" s="23">
        <f>ROUNDUP((A218-Yleistiedot!$B$4)/7,0)</f>
        <v>48</v>
      </c>
      <c r="C218" s="16"/>
      <c r="D218" s="25"/>
      <c r="E218" s="25"/>
      <c r="F218" s="25"/>
      <c r="G218" s="25"/>
      <c r="H218" s="25"/>
      <c r="I218" s="65">
        <f t="shared" si="64"/>
        <v>0</v>
      </c>
      <c r="J218" s="26"/>
      <c r="K218" s="25"/>
      <c r="L218" s="16"/>
      <c r="M218" s="16"/>
      <c r="N218" s="25"/>
      <c r="O218" s="30"/>
      <c r="P218" s="252">
        <f t="shared" si="76"/>
        <v>9990</v>
      </c>
      <c r="Q218" s="253">
        <f t="shared" si="77"/>
        <v>0</v>
      </c>
      <c r="R218" s="253">
        <f t="shared" si="78"/>
        <v>0</v>
      </c>
      <c r="S218" s="251">
        <f>SUMIFS('tuot-rehukirjanpito'!D:D,'tuot-rehukirjanpito'!A:A,A218)</f>
        <v>0</v>
      </c>
      <c r="T218" s="254">
        <f t="shared" si="72"/>
        <v>1098.9000000000001</v>
      </c>
      <c r="U218" s="254">
        <f t="shared" si="73"/>
        <v>1098.8999999999999</v>
      </c>
      <c r="V218" s="252">
        <f t="shared" si="74"/>
        <v>-237362.39999999915</v>
      </c>
      <c r="W218" s="255">
        <f t="shared" si="75"/>
        <v>-215.9999999999992</v>
      </c>
      <c r="X218" s="256" t="str">
        <f t="shared" si="79"/>
        <v/>
      </c>
      <c r="Y218" s="256" t="str">
        <f t="shared" si="80"/>
        <v/>
      </c>
      <c r="Z218" s="224" t="str">
        <f>IF(IFERROR(INDEX('tuot-rehukirjanpito'!I:I,MATCH(A218,'tuot-rehukirjanpito'!G:G,0)),)=0,"",INDEX('tuot-rehukirjanpito'!I:I,MATCH(A218,'tuot-rehukirjanpito'!G:G,0)))</f>
        <v/>
      </c>
      <c r="AA218" s="224">
        <f>SUMIFS('tuot-INFO'!$K$10:$K$115,'tuot-INFO'!$A$10:$A$115,'tuot-PVÄ'!B218)</f>
        <v>64.400000000000006</v>
      </c>
      <c r="AB218" s="224">
        <f>SUMIFS('rehu-vesi-INFO'!$R:$R,'rehu-vesi-INFO'!$A:$A,'tuot-PVÄ'!B218)</f>
        <v>1698</v>
      </c>
      <c r="AC218" s="224">
        <f>SUMIFS('rehu-vesi-INFO'!$S:$S,'rehu-vesi-INFO'!$A:$A,'tuot-PVÄ'!B218)</f>
        <v>1803</v>
      </c>
      <c r="AD218" s="224">
        <f t="shared" si="65"/>
        <v>105</v>
      </c>
      <c r="AE218" s="224">
        <f t="shared" si="66"/>
        <v>0</v>
      </c>
      <c r="AF218" s="224">
        <f t="shared" si="67"/>
        <v>169.8</v>
      </c>
      <c r="AG218" s="224">
        <f t="shared" si="68"/>
        <v>10.5</v>
      </c>
      <c r="AH218" s="257">
        <f t="shared" si="70"/>
        <v>0</v>
      </c>
      <c r="AI218" s="258">
        <f t="shared" si="71"/>
        <v>0</v>
      </c>
      <c r="AJ218" s="55">
        <f>SUMIFS('tuot-INFO'!W:W,'tuot-INFO'!$A:$A,'tuot-PVÄ'!B218)</f>
        <v>87.233999999999995</v>
      </c>
      <c r="AK218" s="55">
        <f>SUMIFS('tuot-INFO'!X:X,'tuot-INFO'!$A:$A,'tuot-PVÄ'!B218)</f>
        <v>9.3799999999999955</v>
      </c>
    </row>
    <row r="219" spans="1:37" x14ac:dyDescent="0.25">
      <c r="A219" s="169">
        <f t="shared" si="69"/>
        <v>42705</v>
      </c>
      <c r="B219" s="23">
        <f>ROUNDUP((A219-Yleistiedot!$B$4)/7,0)</f>
        <v>48</v>
      </c>
      <c r="C219" s="16"/>
      <c r="D219" s="25"/>
      <c r="E219" s="25"/>
      <c r="F219" s="25"/>
      <c r="G219" s="25"/>
      <c r="H219" s="25"/>
      <c r="I219" s="65">
        <f t="shared" si="64"/>
        <v>0</v>
      </c>
      <c r="J219" s="26"/>
      <c r="K219" s="25"/>
      <c r="L219" s="16"/>
      <c r="M219" s="16"/>
      <c r="N219" s="25"/>
      <c r="O219" s="30"/>
      <c r="P219" s="252">
        <f t="shared" si="76"/>
        <v>9990</v>
      </c>
      <c r="Q219" s="253">
        <f t="shared" si="77"/>
        <v>0</v>
      </c>
      <c r="R219" s="253">
        <f t="shared" si="78"/>
        <v>0</v>
      </c>
      <c r="S219" s="251">
        <f>SUMIFS('tuot-rehukirjanpito'!D:D,'tuot-rehukirjanpito'!A:A,A219)</f>
        <v>0</v>
      </c>
      <c r="T219" s="254">
        <f t="shared" si="72"/>
        <v>1098.9000000000001</v>
      </c>
      <c r="U219" s="254">
        <f t="shared" si="73"/>
        <v>1098.8999999999999</v>
      </c>
      <c r="V219" s="252">
        <f t="shared" si="74"/>
        <v>-238461.29999999914</v>
      </c>
      <c r="W219" s="255">
        <f t="shared" si="75"/>
        <v>-216.9999999999992</v>
      </c>
      <c r="X219" s="256" t="str">
        <f t="shared" si="79"/>
        <v/>
      </c>
      <c r="Y219" s="256" t="str">
        <f t="shared" si="80"/>
        <v/>
      </c>
      <c r="Z219" s="224" t="str">
        <f>IF(IFERROR(INDEX('tuot-rehukirjanpito'!I:I,MATCH(A219,'tuot-rehukirjanpito'!G:G,0)),)=0,"",INDEX('tuot-rehukirjanpito'!I:I,MATCH(A219,'tuot-rehukirjanpito'!G:G,0)))</f>
        <v/>
      </c>
      <c r="AA219" s="224">
        <f>SUMIFS('tuot-INFO'!$K$10:$K$115,'tuot-INFO'!$A$10:$A$115,'tuot-PVÄ'!B219)</f>
        <v>64.400000000000006</v>
      </c>
      <c r="AB219" s="224">
        <f>SUMIFS('rehu-vesi-INFO'!$R:$R,'rehu-vesi-INFO'!$A:$A,'tuot-PVÄ'!B219)</f>
        <v>1698</v>
      </c>
      <c r="AC219" s="224">
        <f>SUMIFS('rehu-vesi-INFO'!$S:$S,'rehu-vesi-INFO'!$A:$A,'tuot-PVÄ'!B219)</f>
        <v>1803</v>
      </c>
      <c r="AD219" s="224">
        <f t="shared" si="65"/>
        <v>105</v>
      </c>
      <c r="AE219" s="224">
        <f t="shared" si="66"/>
        <v>0</v>
      </c>
      <c r="AF219" s="224">
        <f t="shared" si="67"/>
        <v>169.8</v>
      </c>
      <c r="AG219" s="224">
        <f t="shared" si="68"/>
        <v>10.5</v>
      </c>
      <c r="AH219" s="257">
        <f t="shared" si="70"/>
        <v>0</v>
      </c>
      <c r="AI219" s="258">
        <f t="shared" si="71"/>
        <v>0</v>
      </c>
      <c r="AJ219" s="55">
        <f>SUMIFS('tuot-INFO'!W:W,'tuot-INFO'!$A:$A,'tuot-PVÄ'!B219)</f>
        <v>87.233999999999995</v>
      </c>
      <c r="AK219" s="55">
        <f>SUMIFS('tuot-INFO'!X:X,'tuot-INFO'!$A:$A,'tuot-PVÄ'!B219)</f>
        <v>9.3799999999999955</v>
      </c>
    </row>
    <row r="220" spans="1:37" x14ac:dyDescent="0.25">
      <c r="A220" s="169">
        <f t="shared" si="69"/>
        <v>42706</v>
      </c>
      <c r="B220" s="23">
        <f>ROUNDUP((A220-Yleistiedot!$B$4)/7,0)</f>
        <v>48</v>
      </c>
      <c r="C220" s="16"/>
      <c r="D220" s="25"/>
      <c r="E220" s="25"/>
      <c r="F220" s="25"/>
      <c r="G220" s="25"/>
      <c r="H220" s="25"/>
      <c r="I220" s="65">
        <f t="shared" si="64"/>
        <v>0</v>
      </c>
      <c r="J220" s="26"/>
      <c r="K220" s="25"/>
      <c r="L220" s="16"/>
      <c r="M220" s="16"/>
      <c r="N220" s="25"/>
      <c r="O220" s="30"/>
      <c r="P220" s="252">
        <f t="shared" si="76"/>
        <v>9990</v>
      </c>
      <c r="Q220" s="253">
        <f t="shared" si="77"/>
        <v>0</v>
      </c>
      <c r="R220" s="253">
        <f t="shared" si="78"/>
        <v>0</v>
      </c>
      <c r="S220" s="251">
        <f>SUMIFS('tuot-rehukirjanpito'!D:D,'tuot-rehukirjanpito'!A:A,A220)</f>
        <v>0</v>
      </c>
      <c r="T220" s="254">
        <f t="shared" si="72"/>
        <v>1098.9000000000001</v>
      </c>
      <c r="U220" s="254">
        <f t="shared" si="73"/>
        <v>1098.8999999999999</v>
      </c>
      <c r="V220" s="252">
        <f t="shared" si="74"/>
        <v>-239560.19999999914</v>
      </c>
      <c r="W220" s="255">
        <f t="shared" si="75"/>
        <v>-217.9999999999992</v>
      </c>
      <c r="X220" s="256" t="str">
        <f t="shared" si="79"/>
        <v/>
      </c>
      <c r="Y220" s="256" t="str">
        <f t="shared" si="80"/>
        <v/>
      </c>
      <c r="Z220" s="224" t="str">
        <f>IF(IFERROR(INDEX('tuot-rehukirjanpito'!I:I,MATCH(A220,'tuot-rehukirjanpito'!G:G,0)),)=0,"",INDEX('tuot-rehukirjanpito'!I:I,MATCH(A220,'tuot-rehukirjanpito'!G:G,0)))</f>
        <v/>
      </c>
      <c r="AA220" s="224">
        <f>SUMIFS('tuot-INFO'!$K$10:$K$115,'tuot-INFO'!$A$10:$A$115,'tuot-PVÄ'!B220)</f>
        <v>64.400000000000006</v>
      </c>
      <c r="AB220" s="224">
        <f>SUMIFS('rehu-vesi-INFO'!$R:$R,'rehu-vesi-INFO'!$A:$A,'tuot-PVÄ'!B220)</f>
        <v>1698</v>
      </c>
      <c r="AC220" s="224">
        <f>SUMIFS('rehu-vesi-INFO'!$S:$S,'rehu-vesi-INFO'!$A:$A,'tuot-PVÄ'!B220)</f>
        <v>1803</v>
      </c>
      <c r="AD220" s="224">
        <f t="shared" si="65"/>
        <v>105</v>
      </c>
      <c r="AE220" s="224">
        <f t="shared" si="66"/>
        <v>0</v>
      </c>
      <c r="AF220" s="224">
        <f t="shared" si="67"/>
        <v>169.8</v>
      </c>
      <c r="AG220" s="224">
        <f t="shared" si="68"/>
        <v>10.5</v>
      </c>
      <c r="AH220" s="257">
        <f t="shared" si="70"/>
        <v>0</v>
      </c>
      <c r="AI220" s="258">
        <f t="shared" si="71"/>
        <v>0</v>
      </c>
      <c r="AJ220" s="55">
        <f>SUMIFS('tuot-INFO'!W:W,'tuot-INFO'!$A:$A,'tuot-PVÄ'!B220)</f>
        <v>87.233999999999995</v>
      </c>
      <c r="AK220" s="55">
        <f>SUMIFS('tuot-INFO'!X:X,'tuot-INFO'!$A:$A,'tuot-PVÄ'!B220)</f>
        <v>9.3799999999999955</v>
      </c>
    </row>
    <row r="221" spans="1:37" x14ac:dyDescent="0.25">
      <c r="A221" s="169">
        <f t="shared" si="69"/>
        <v>42707</v>
      </c>
      <c r="B221" s="23">
        <f>ROUNDUP((A221-Yleistiedot!$B$4)/7,0)</f>
        <v>49</v>
      </c>
      <c r="C221" s="16"/>
      <c r="D221" s="25"/>
      <c r="E221" s="25"/>
      <c r="F221" s="25"/>
      <c r="G221" s="25"/>
      <c r="H221" s="25"/>
      <c r="I221" s="65">
        <f t="shared" si="64"/>
        <v>0</v>
      </c>
      <c r="J221" s="26"/>
      <c r="K221" s="25"/>
      <c r="L221" s="16"/>
      <c r="M221" s="16"/>
      <c r="N221" s="25"/>
      <c r="O221" s="30"/>
      <c r="P221" s="252">
        <f t="shared" si="76"/>
        <v>9990</v>
      </c>
      <c r="Q221" s="253">
        <f t="shared" si="77"/>
        <v>0</v>
      </c>
      <c r="R221" s="253">
        <f t="shared" si="78"/>
        <v>0</v>
      </c>
      <c r="S221" s="251">
        <f>SUMIFS('tuot-rehukirjanpito'!D:D,'tuot-rehukirjanpito'!A:A,A221)</f>
        <v>0</v>
      </c>
      <c r="T221" s="254">
        <f t="shared" si="72"/>
        <v>1098.9000000000001</v>
      </c>
      <c r="U221" s="254">
        <f t="shared" si="73"/>
        <v>1098.8999999999999</v>
      </c>
      <c r="V221" s="252">
        <f t="shared" si="74"/>
        <v>-240659.09999999913</v>
      </c>
      <c r="W221" s="255">
        <f t="shared" si="75"/>
        <v>-218.9999999999992</v>
      </c>
      <c r="X221" s="256" t="str">
        <f t="shared" si="79"/>
        <v/>
      </c>
      <c r="Y221" s="256" t="str">
        <f t="shared" si="80"/>
        <v/>
      </c>
      <c r="Z221" s="224" t="str">
        <f>IF(IFERROR(INDEX('tuot-rehukirjanpito'!I:I,MATCH(A221,'tuot-rehukirjanpito'!G:G,0)),)=0,"",INDEX('tuot-rehukirjanpito'!I:I,MATCH(A221,'tuot-rehukirjanpito'!G:G,0)))</f>
        <v/>
      </c>
      <c r="AA221" s="224">
        <f>SUMIFS('tuot-INFO'!$K$10:$K$115,'tuot-INFO'!$A$10:$A$115,'tuot-PVÄ'!B221)</f>
        <v>64.5</v>
      </c>
      <c r="AB221" s="224">
        <f>SUMIFS('rehu-vesi-INFO'!$R:$R,'rehu-vesi-INFO'!$A:$A,'tuot-PVÄ'!B221)</f>
        <v>1699</v>
      </c>
      <c r="AC221" s="224">
        <f>SUMIFS('rehu-vesi-INFO'!$S:$S,'rehu-vesi-INFO'!$A:$A,'tuot-PVÄ'!B221)</f>
        <v>1804</v>
      </c>
      <c r="AD221" s="224">
        <f t="shared" si="65"/>
        <v>105</v>
      </c>
      <c r="AE221" s="224">
        <f t="shared" si="66"/>
        <v>0</v>
      </c>
      <c r="AF221" s="224">
        <f t="shared" si="67"/>
        <v>169.9</v>
      </c>
      <c r="AG221" s="224">
        <f t="shared" si="68"/>
        <v>10.5</v>
      </c>
      <c r="AH221" s="257">
        <f t="shared" si="70"/>
        <v>0</v>
      </c>
      <c r="AI221" s="258">
        <f t="shared" si="71"/>
        <v>0</v>
      </c>
      <c r="AJ221" s="55">
        <f>SUMIFS('tuot-INFO'!W:W,'tuot-INFO'!$A:$A,'tuot-PVÄ'!B221)</f>
        <v>86.954999999999998</v>
      </c>
      <c r="AK221" s="55">
        <f>SUMIFS('tuot-INFO'!X:X,'tuot-INFO'!$A:$A,'tuot-PVÄ'!B221)</f>
        <v>9.3500000000000085</v>
      </c>
    </row>
    <row r="222" spans="1:37" x14ac:dyDescent="0.25">
      <c r="A222" s="169">
        <f t="shared" si="69"/>
        <v>42708</v>
      </c>
      <c r="B222" s="23">
        <f>ROUNDUP((A222-Yleistiedot!$B$4)/7,0)</f>
        <v>49</v>
      </c>
      <c r="C222" s="16"/>
      <c r="D222" s="25"/>
      <c r="E222" s="25"/>
      <c r="F222" s="25"/>
      <c r="G222" s="25"/>
      <c r="H222" s="25"/>
      <c r="I222" s="65">
        <f t="shared" si="64"/>
        <v>0</v>
      </c>
      <c r="J222" s="26"/>
      <c r="K222" s="25"/>
      <c r="L222" s="16"/>
      <c r="M222" s="16"/>
      <c r="N222" s="25"/>
      <c r="O222" s="30"/>
      <c r="P222" s="252">
        <f t="shared" si="76"/>
        <v>9990</v>
      </c>
      <c r="Q222" s="253">
        <f t="shared" si="77"/>
        <v>0</v>
      </c>
      <c r="R222" s="253">
        <f t="shared" si="78"/>
        <v>0</v>
      </c>
      <c r="S222" s="251">
        <f>SUMIFS('tuot-rehukirjanpito'!D:D,'tuot-rehukirjanpito'!A:A,A222)</f>
        <v>0</v>
      </c>
      <c r="T222" s="254">
        <f t="shared" si="72"/>
        <v>1098.9000000000001</v>
      </c>
      <c r="U222" s="254">
        <f t="shared" si="73"/>
        <v>1098.8999999999999</v>
      </c>
      <c r="V222" s="252">
        <f t="shared" si="74"/>
        <v>-241757.99999999913</v>
      </c>
      <c r="W222" s="255">
        <f t="shared" si="75"/>
        <v>-219.99999999999918</v>
      </c>
      <c r="X222" s="256" t="str">
        <f t="shared" si="79"/>
        <v/>
      </c>
      <c r="Y222" s="256" t="str">
        <f t="shared" si="80"/>
        <v/>
      </c>
      <c r="Z222" s="224" t="str">
        <f>IF(IFERROR(INDEX('tuot-rehukirjanpito'!I:I,MATCH(A222,'tuot-rehukirjanpito'!G:G,0)),)=0,"",INDEX('tuot-rehukirjanpito'!I:I,MATCH(A222,'tuot-rehukirjanpito'!G:G,0)))</f>
        <v/>
      </c>
      <c r="AA222" s="224">
        <f>SUMIFS('tuot-INFO'!$K$10:$K$115,'tuot-INFO'!$A$10:$A$115,'tuot-PVÄ'!B222)</f>
        <v>64.5</v>
      </c>
      <c r="AB222" s="224">
        <f>SUMIFS('rehu-vesi-INFO'!$R:$R,'rehu-vesi-INFO'!$A:$A,'tuot-PVÄ'!B222)</f>
        <v>1699</v>
      </c>
      <c r="AC222" s="224">
        <f>SUMIFS('rehu-vesi-INFO'!$S:$S,'rehu-vesi-INFO'!$A:$A,'tuot-PVÄ'!B222)</f>
        <v>1804</v>
      </c>
      <c r="AD222" s="224">
        <f t="shared" si="65"/>
        <v>105</v>
      </c>
      <c r="AE222" s="224">
        <f t="shared" si="66"/>
        <v>0</v>
      </c>
      <c r="AF222" s="224">
        <f t="shared" si="67"/>
        <v>169.9</v>
      </c>
      <c r="AG222" s="224">
        <f t="shared" si="68"/>
        <v>10.5</v>
      </c>
      <c r="AH222" s="257">
        <f t="shared" si="70"/>
        <v>0</v>
      </c>
      <c r="AI222" s="258">
        <f t="shared" si="71"/>
        <v>0</v>
      </c>
      <c r="AJ222" s="55">
        <f>SUMIFS('tuot-INFO'!W:W,'tuot-INFO'!$A:$A,'tuot-PVÄ'!B222)</f>
        <v>86.954999999999998</v>
      </c>
      <c r="AK222" s="55">
        <f>SUMIFS('tuot-INFO'!X:X,'tuot-INFO'!$A:$A,'tuot-PVÄ'!B222)</f>
        <v>9.3500000000000085</v>
      </c>
    </row>
    <row r="223" spans="1:37" x14ac:dyDescent="0.25">
      <c r="A223" s="169">
        <f t="shared" si="69"/>
        <v>42709</v>
      </c>
      <c r="B223" s="23">
        <f>ROUNDUP((A223-Yleistiedot!$B$4)/7,0)</f>
        <v>49</v>
      </c>
      <c r="C223" s="16"/>
      <c r="D223" s="25"/>
      <c r="E223" s="25"/>
      <c r="F223" s="25"/>
      <c r="G223" s="25"/>
      <c r="H223" s="25"/>
      <c r="I223" s="65">
        <f t="shared" si="64"/>
        <v>0</v>
      </c>
      <c r="J223" s="26"/>
      <c r="K223" s="25"/>
      <c r="L223" s="16"/>
      <c r="M223" s="16"/>
      <c r="N223" s="25"/>
      <c r="O223" s="30"/>
      <c r="P223" s="252">
        <f t="shared" si="76"/>
        <v>9990</v>
      </c>
      <c r="Q223" s="253">
        <f t="shared" si="77"/>
        <v>0</v>
      </c>
      <c r="R223" s="253">
        <f t="shared" si="78"/>
        <v>0</v>
      </c>
      <c r="S223" s="251">
        <f>SUMIFS('tuot-rehukirjanpito'!D:D,'tuot-rehukirjanpito'!A:A,A223)</f>
        <v>0</v>
      </c>
      <c r="T223" s="254">
        <f t="shared" si="72"/>
        <v>1098.9000000000001</v>
      </c>
      <c r="U223" s="254">
        <f t="shared" si="73"/>
        <v>1098.8999999999999</v>
      </c>
      <c r="V223" s="252">
        <f t="shared" si="74"/>
        <v>-242856.89999999912</v>
      </c>
      <c r="W223" s="255">
        <f t="shared" si="75"/>
        <v>-220.99999999999918</v>
      </c>
      <c r="X223" s="256" t="str">
        <f t="shared" si="79"/>
        <v/>
      </c>
      <c r="Y223" s="256" t="str">
        <f t="shared" si="80"/>
        <v/>
      </c>
      <c r="Z223" s="224" t="str">
        <f>IF(IFERROR(INDEX('tuot-rehukirjanpito'!I:I,MATCH(A223,'tuot-rehukirjanpito'!G:G,0)),)=0,"",INDEX('tuot-rehukirjanpito'!I:I,MATCH(A223,'tuot-rehukirjanpito'!G:G,0)))</f>
        <v/>
      </c>
      <c r="AA223" s="224">
        <f>SUMIFS('tuot-INFO'!$K$10:$K$115,'tuot-INFO'!$A$10:$A$115,'tuot-PVÄ'!B223)</f>
        <v>64.5</v>
      </c>
      <c r="AB223" s="224">
        <f>SUMIFS('rehu-vesi-INFO'!$R:$R,'rehu-vesi-INFO'!$A:$A,'tuot-PVÄ'!B223)</f>
        <v>1699</v>
      </c>
      <c r="AC223" s="224">
        <f>SUMIFS('rehu-vesi-INFO'!$S:$S,'rehu-vesi-INFO'!$A:$A,'tuot-PVÄ'!B223)</f>
        <v>1804</v>
      </c>
      <c r="AD223" s="224">
        <f t="shared" si="65"/>
        <v>105</v>
      </c>
      <c r="AE223" s="224">
        <f t="shared" si="66"/>
        <v>0</v>
      </c>
      <c r="AF223" s="224">
        <f t="shared" si="67"/>
        <v>169.9</v>
      </c>
      <c r="AG223" s="224">
        <f t="shared" si="68"/>
        <v>10.5</v>
      </c>
      <c r="AH223" s="257">
        <f t="shared" si="70"/>
        <v>0</v>
      </c>
      <c r="AI223" s="258">
        <f t="shared" si="71"/>
        <v>0</v>
      </c>
      <c r="AJ223" s="55">
        <f>SUMIFS('tuot-INFO'!W:W,'tuot-INFO'!$A:$A,'tuot-PVÄ'!B223)</f>
        <v>86.954999999999998</v>
      </c>
      <c r="AK223" s="55">
        <f>SUMIFS('tuot-INFO'!X:X,'tuot-INFO'!$A:$A,'tuot-PVÄ'!B223)</f>
        <v>9.3500000000000085</v>
      </c>
    </row>
    <row r="224" spans="1:37" x14ac:dyDescent="0.25">
      <c r="A224" s="169">
        <f t="shared" si="69"/>
        <v>42710</v>
      </c>
      <c r="B224" s="23">
        <f>ROUNDUP((A224-Yleistiedot!$B$4)/7,0)</f>
        <v>49</v>
      </c>
      <c r="C224" s="16"/>
      <c r="D224" s="25"/>
      <c r="E224" s="25"/>
      <c r="F224" s="25"/>
      <c r="G224" s="25"/>
      <c r="H224" s="25"/>
      <c r="I224" s="65">
        <f t="shared" si="64"/>
        <v>0</v>
      </c>
      <c r="J224" s="26"/>
      <c r="K224" s="25"/>
      <c r="L224" s="16"/>
      <c r="M224" s="16"/>
      <c r="N224" s="25"/>
      <c r="O224" s="30"/>
      <c r="P224" s="252">
        <f t="shared" si="76"/>
        <v>9990</v>
      </c>
      <c r="Q224" s="253">
        <f t="shared" si="77"/>
        <v>0</v>
      </c>
      <c r="R224" s="253">
        <f t="shared" si="78"/>
        <v>0</v>
      </c>
      <c r="S224" s="251">
        <f>SUMIFS('tuot-rehukirjanpito'!D:D,'tuot-rehukirjanpito'!A:A,A224)</f>
        <v>0</v>
      </c>
      <c r="T224" s="254">
        <f t="shared" si="72"/>
        <v>1098.9000000000001</v>
      </c>
      <c r="U224" s="254">
        <f t="shared" si="73"/>
        <v>1098.8999999999999</v>
      </c>
      <c r="V224" s="252">
        <f t="shared" si="74"/>
        <v>-243955.79999999912</v>
      </c>
      <c r="W224" s="255">
        <f t="shared" si="75"/>
        <v>-221.99999999999918</v>
      </c>
      <c r="X224" s="256" t="str">
        <f t="shared" si="79"/>
        <v/>
      </c>
      <c r="Y224" s="256" t="str">
        <f t="shared" si="80"/>
        <v/>
      </c>
      <c r="Z224" s="224" t="str">
        <f>IF(IFERROR(INDEX('tuot-rehukirjanpito'!I:I,MATCH(A224,'tuot-rehukirjanpito'!G:G,0)),)=0,"",INDEX('tuot-rehukirjanpito'!I:I,MATCH(A224,'tuot-rehukirjanpito'!G:G,0)))</f>
        <v/>
      </c>
      <c r="AA224" s="224">
        <f>SUMIFS('tuot-INFO'!$K$10:$K$115,'tuot-INFO'!$A$10:$A$115,'tuot-PVÄ'!B224)</f>
        <v>64.5</v>
      </c>
      <c r="AB224" s="224">
        <f>SUMIFS('rehu-vesi-INFO'!$R:$R,'rehu-vesi-INFO'!$A:$A,'tuot-PVÄ'!B224)</f>
        <v>1699</v>
      </c>
      <c r="AC224" s="224">
        <f>SUMIFS('rehu-vesi-INFO'!$S:$S,'rehu-vesi-INFO'!$A:$A,'tuot-PVÄ'!B224)</f>
        <v>1804</v>
      </c>
      <c r="AD224" s="224">
        <f t="shared" si="65"/>
        <v>105</v>
      </c>
      <c r="AE224" s="224">
        <f t="shared" si="66"/>
        <v>0</v>
      </c>
      <c r="AF224" s="224">
        <f t="shared" si="67"/>
        <v>169.9</v>
      </c>
      <c r="AG224" s="224">
        <f t="shared" si="68"/>
        <v>10.5</v>
      </c>
      <c r="AH224" s="257">
        <f t="shared" si="70"/>
        <v>0</v>
      </c>
      <c r="AI224" s="258">
        <f t="shared" si="71"/>
        <v>0</v>
      </c>
      <c r="AJ224" s="55">
        <f>SUMIFS('tuot-INFO'!W:W,'tuot-INFO'!$A:$A,'tuot-PVÄ'!B224)</f>
        <v>86.954999999999998</v>
      </c>
      <c r="AK224" s="55">
        <f>SUMIFS('tuot-INFO'!X:X,'tuot-INFO'!$A:$A,'tuot-PVÄ'!B224)</f>
        <v>9.3500000000000085</v>
      </c>
    </row>
    <row r="225" spans="1:37" x14ac:dyDescent="0.25">
      <c r="A225" s="169">
        <f t="shared" si="69"/>
        <v>42711</v>
      </c>
      <c r="B225" s="23">
        <f>ROUNDUP((A225-Yleistiedot!$B$4)/7,0)</f>
        <v>49</v>
      </c>
      <c r="C225" s="16"/>
      <c r="D225" s="25"/>
      <c r="E225" s="25"/>
      <c r="F225" s="25"/>
      <c r="G225" s="25"/>
      <c r="H225" s="25"/>
      <c r="I225" s="65">
        <f t="shared" si="64"/>
        <v>0</v>
      </c>
      <c r="J225" s="26"/>
      <c r="K225" s="25"/>
      <c r="L225" s="16"/>
      <c r="M225" s="16"/>
      <c r="N225" s="25"/>
      <c r="O225" s="30"/>
      <c r="P225" s="252">
        <f t="shared" si="76"/>
        <v>9990</v>
      </c>
      <c r="Q225" s="253">
        <f t="shared" si="77"/>
        <v>0</v>
      </c>
      <c r="R225" s="253">
        <f t="shared" si="78"/>
        <v>0</v>
      </c>
      <c r="S225" s="251">
        <f>SUMIFS('tuot-rehukirjanpito'!D:D,'tuot-rehukirjanpito'!A:A,A225)</f>
        <v>0</v>
      </c>
      <c r="T225" s="254">
        <f t="shared" si="72"/>
        <v>1098.9000000000001</v>
      </c>
      <c r="U225" s="254">
        <f t="shared" si="73"/>
        <v>1098.8999999999999</v>
      </c>
      <c r="V225" s="252">
        <f t="shared" si="74"/>
        <v>-245054.69999999911</v>
      </c>
      <c r="W225" s="255">
        <f t="shared" si="75"/>
        <v>-222.99999999999918</v>
      </c>
      <c r="X225" s="256" t="str">
        <f t="shared" si="79"/>
        <v/>
      </c>
      <c r="Y225" s="256" t="str">
        <f t="shared" si="80"/>
        <v/>
      </c>
      <c r="Z225" s="224" t="str">
        <f>IF(IFERROR(INDEX('tuot-rehukirjanpito'!I:I,MATCH(A225,'tuot-rehukirjanpito'!G:G,0)),)=0,"",INDEX('tuot-rehukirjanpito'!I:I,MATCH(A225,'tuot-rehukirjanpito'!G:G,0)))</f>
        <v/>
      </c>
      <c r="AA225" s="224">
        <f>SUMIFS('tuot-INFO'!$K$10:$K$115,'tuot-INFO'!$A$10:$A$115,'tuot-PVÄ'!B225)</f>
        <v>64.5</v>
      </c>
      <c r="AB225" s="224">
        <f>SUMIFS('rehu-vesi-INFO'!$R:$R,'rehu-vesi-INFO'!$A:$A,'tuot-PVÄ'!B225)</f>
        <v>1699</v>
      </c>
      <c r="AC225" s="224">
        <f>SUMIFS('rehu-vesi-INFO'!$S:$S,'rehu-vesi-INFO'!$A:$A,'tuot-PVÄ'!B225)</f>
        <v>1804</v>
      </c>
      <c r="AD225" s="224">
        <f t="shared" si="65"/>
        <v>105</v>
      </c>
      <c r="AE225" s="224">
        <f t="shared" si="66"/>
        <v>0</v>
      </c>
      <c r="AF225" s="224">
        <f t="shared" si="67"/>
        <v>169.9</v>
      </c>
      <c r="AG225" s="224">
        <f t="shared" si="68"/>
        <v>10.5</v>
      </c>
      <c r="AH225" s="257">
        <f t="shared" si="70"/>
        <v>0</v>
      </c>
      <c r="AI225" s="258">
        <f t="shared" si="71"/>
        <v>0</v>
      </c>
      <c r="AJ225" s="55">
        <f>SUMIFS('tuot-INFO'!W:W,'tuot-INFO'!$A:$A,'tuot-PVÄ'!B225)</f>
        <v>86.954999999999998</v>
      </c>
      <c r="AK225" s="55">
        <f>SUMIFS('tuot-INFO'!X:X,'tuot-INFO'!$A:$A,'tuot-PVÄ'!B225)</f>
        <v>9.3500000000000085</v>
      </c>
    </row>
    <row r="226" spans="1:37" x14ac:dyDescent="0.25">
      <c r="A226" s="169">
        <f t="shared" si="69"/>
        <v>42712</v>
      </c>
      <c r="B226" s="23">
        <f>ROUNDUP((A226-Yleistiedot!$B$4)/7,0)</f>
        <v>49</v>
      </c>
      <c r="C226" s="16"/>
      <c r="D226" s="25"/>
      <c r="E226" s="25"/>
      <c r="F226" s="25"/>
      <c r="G226" s="25"/>
      <c r="H226" s="25"/>
      <c r="I226" s="65">
        <f t="shared" si="64"/>
        <v>0</v>
      </c>
      <c r="J226" s="26"/>
      <c r="K226" s="25"/>
      <c r="L226" s="16"/>
      <c r="M226" s="16"/>
      <c r="N226" s="25"/>
      <c r="O226" s="30"/>
      <c r="P226" s="252">
        <f t="shared" si="76"/>
        <v>9990</v>
      </c>
      <c r="Q226" s="253">
        <f t="shared" si="77"/>
        <v>0</v>
      </c>
      <c r="R226" s="253">
        <f t="shared" si="78"/>
        <v>0</v>
      </c>
      <c r="S226" s="251">
        <f>SUMIFS('tuot-rehukirjanpito'!D:D,'tuot-rehukirjanpito'!A:A,A226)</f>
        <v>0</v>
      </c>
      <c r="T226" s="254">
        <f t="shared" si="72"/>
        <v>1098.9000000000001</v>
      </c>
      <c r="U226" s="254">
        <f t="shared" si="73"/>
        <v>1098.8999999999999</v>
      </c>
      <c r="V226" s="252">
        <f t="shared" si="74"/>
        <v>-246153.5999999991</v>
      </c>
      <c r="W226" s="255">
        <f t="shared" si="75"/>
        <v>-223.99999999999918</v>
      </c>
      <c r="X226" s="256" t="str">
        <f t="shared" si="79"/>
        <v/>
      </c>
      <c r="Y226" s="256" t="str">
        <f t="shared" si="80"/>
        <v/>
      </c>
      <c r="Z226" s="224" t="str">
        <f>IF(IFERROR(INDEX('tuot-rehukirjanpito'!I:I,MATCH(A226,'tuot-rehukirjanpito'!G:G,0)),)=0,"",INDEX('tuot-rehukirjanpito'!I:I,MATCH(A226,'tuot-rehukirjanpito'!G:G,0)))</f>
        <v/>
      </c>
      <c r="AA226" s="224">
        <f>SUMIFS('tuot-INFO'!$K$10:$K$115,'tuot-INFO'!$A$10:$A$115,'tuot-PVÄ'!B226)</f>
        <v>64.5</v>
      </c>
      <c r="AB226" s="224">
        <f>SUMIFS('rehu-vesi-INFO'!$R:$R,'rehu-vesi-INFO'!$A:$A,'tuot-PVÄ'!B226)</f>
        <v>1699</v>
      </c>
      <c r="AC226" s="224">
        <f>SUMIFS('rehu-vesi-INFO'!$S:$S,'rehu-vesi-INFO'!$A:$A,'tuot-PVÄ'!B226)</f>
        <v>1804</v>
      </c>
      <c r="AD226" s="224">
        <f t="shared" si="65"/>
        <v>105</v>
      </c>
      <c r="AE226" s="224">
        <f t="shared" si="66"/>
        <v>0</v>
      </c>
      <c r="AF226" s="224">
        <f t="shared" si="67"/>
        <v>169.9</v>
      </c>
      <c r="AG226" s="224">
        <f t="shared" si="68"/>
        <v>10.5</v>
      </c>
      <c r="AH226" s="257">
        <f t="shared" si="70"/>
        <v>0</v>
      </c>
      <c r="AI226" s="258">
        <f t="shared" si="71"/>
        <v>0</v>
      </c>
      <c r="AJ226" s="55">
        <f>SUMIFS('tuot-INFO'!W:W,'tuot-INFO'!$A:$A,'tuot-PVÄ'!B226)</f>
        <v>86.954999999999998</v>
      </c>
      <c r="AK226" s="55">
        <f>SUMIFS('tuot-INFO'!X:X,'tuot-INFO'!$A:$A,'tuot-PVÄ'!B226)</f>
        <v>9.3500000000000085</v>
      </c>
    </row>
    <row r="227" spans="1:37" x14ac:dyDescent="0.25">
      <c r="A227" s="169">
        <f t="shared" si="69"/>
        <v>42713</v>
      </c>
      <c r="B227" s="23">
        <f>ROUNDUP((A227-Yleistiedot!$B$4)/7,0)</f>
        <v>49</v>
      </c>
      <c r="C227" s="16"/>
      <c r="D227" s="25"/>
      <c r="E227" s="25"/>
      <c r="F227" s="25"/>
      <c r="G227" s="25"/>
      <c r="H227" s="25"/>
      <c r="I227" s="65">
        <f t="shared" si="64"/>
        <v>0</v>
      </c>
      <c r="J227" s="26"/>
      <c r="K227" s="25"/>
      <c r="L227" s="16"/>
      <c r="M227" s="16"/>
      <c r="N227" s="25"/>
      <c r="O227" s="30"/>
      <c r="P227" s="252">
        <f t="shared" si="76"/>
        <v>9990</v>
      </c>
      <c r="Q227" s="253">
        <f t="shared" si="77"/>
        <v>0</v>
      </c>
      <c r="R227" s="253">
        <f t="shared" si="78"/>
        <v>0</v>
      </c>
      <c r="S227" s="251">
        <f>SUMIFS('tuot-rehukirjanpito'!D:D,'tuot-rehukirjanpito'!A:A,A227)</f>
        <v>0</v>
      </c>
      <c r="T227" s="254">
        <f t="shared" si="72"/>
        <v>1098.9000000000001</v>
      </c>
      <c r="U227" s="254">
        <f t="shared" si="73"/>
        <v>1098.8999999999999</v>
      </c>
      <c r="V227" s="252">
        <f t="shared" si="74"/>
        <v>-247252.4999999991</v>
      </c>
      <c r="W227" s="255">
        <f t="shared" si="75"/>
        <v>-224.99999999999915</v>
      </c>
      <c r="X227" s="256" t="str">
        <f t="shared" si="79"/>
        <v/>
      </c>
      <c r="Y227" s="256" t="str">
        <f t="shared" si="80"/>
        <v/>
      </c>
      <c r="Z227" s="224" t="str">
        <f>IF(IFERROR(INDEX('tuot-rehukirjanpito'!I:I,MATCH(A227,'tuot-rehukirjanpito'!G:G,0)),)=0,"",INDEX('tuot-rehukirjanpito'!I:I,MATCH(A227,'tuot-rehukirjanpito'!G:G,0)))</f>
        <v/>
      </c>
      <c r="AA227" s="224">
        <f>SUMIFS('tuot-INFO'!$K$10:$K$115,'tuot-INFO'!$A$10:$A$115,'tuot-PVÄ'!B227)</f>
        <v>64.5</v>
      </c>
      <c r="AB227" s="224">
        <f>SUMIFS('rehu-vesi-INFO'!$R:$R,'rehu-vesi-INFO'!$A:$A,'tuot-PVÄ'!B227)</f>
        <v>1699</v>
      </c>
      <c r="AC227" s="224">
        <f>SUMIFS('rehu-vesi-INFO'!$S:$S,'rehu-vesi-INFO'!$A:$A,'tuot-PVÄ'!B227)</f>
        <v>1804</v>
      </c>
      <c r="AD227" s="224">
        <f t="shared" si="65"/>
        <v>105</v>
      </c>
      <c r="AE227" s="224">
        <f t="shared" si="66"/>
        <v>0</v>
      </c>
      <c r="AF227" s="224">
        <f t="shared" si="67"/>
        <v>169.9</v>
      </c>
      <c r="AG227" s="224">
        <f t="shared" si="68"/>
        <v>10.5</v>
      </c>
      <c r="AH227" s="257">
        <f t="shared" si="70"/>
        <v>0</v>
      </c>
      <c r="AI227" s="258">
        <f t="shared" si="71"/>
        <v>0</v>
      </c>
      <c r="AJ227" s="55">
        <f>SUMIFS('tuot-INFO'!W:W,'tuot-INFO'!$A:$A,'tuot-PVÄ'!B227)</f>
        <v>86.954999999999998</v>
      </c>
      <c r="AK227" s="55">
        <f>SUMIFS('tuot-INFO'!X:X,'tuot-INFO'!$A:$A,'tuot-PVÄ'!B227)</f>
        <v>9.3500000000000085</v>
      </c>
    </row>
    <row r="228" spans="1:37" x14ac:dyDescent="0.25">
      <c r="A228" s="169">
        <f t="shared" si="69"/>
        <v>42714</v>
      </c>
      <c r="B228" s="23">
        <f>ROUNDUP((A228-Yleistiedot!$B$4)/7,0)</f>
        <v>50</v>
      </c>
      <c r="C228" s="16"/>
      <c r="D228" s="25"/>
      <c r="E228" s="25"/>
      <c r="F228" s="25"/>
      <c r="G228" s="25"/>
      <c r="H228" s="25"/>
      <c r="I228" s="65">
        <f t="shared" si="64"/>
        <v>0</v>
      </c>
      <c r="J228" s="26"/>
      <c r="K228" s="25"/>
      <c r="L228" s="16"/>
      <c r="M228" s="16"/>
      <c r="N228" s="25"/>
      <c r="O228" s="30"/>
      <c r="P228" s="252">
        <f t="shared" si="76"/>
        <v>9990</v>
      </c>
      <c r="Q228" s="253">
        <f t="shared" si="77"/>
        <v>0</v>
      </c>
      <c r="R228" s="253">
        <f t="shared" si="78"/>
        <v>0</v>
      </c>
      <c r="S228" s="251">
        <f>SUMIFS('tuot-rehukirjanpito'!D:D,'tuot-rehukirjanpito'!A:A,A228)</f>
        <v>0</v>
      </c>
      <c r="T228" s="254">
        <f t="shared" si="72"/>
        <v>1098.9000000000001</v>
      </c>
      <c r="U228" s="254">
        <f t="shared" si="73"/>
        <v>1098.8999999999999</v>
      </c>
      <c r="V228" s="252">
        <f t="shared" si="74"/>
        <v>-248351.39999999909</v>
      </c>
      <c r="W228" s="255">
        <f t="shared" si="75"/>
        <v>-225.99999999999915</v>
      </c>
      <c r="X228" s="256" t="str">
        <f t="shared" si="79"/>
        <v/>
      </c>
      <c r="Y228" s="256" t="str">
        <f t="shared" si="80"/>
        <v/>
      </c>
      <c r="Z228" s="224" t="str">
        <f>IF(IFERROR(INDEX('tuot-rehukirjanpito'!I:I,MATCH(A228,'tuot-rehukirjanpito'!G:G,0)),)=0,"",INDEX('tuot-rehukirjanpito'!I:I,MATCH(A228,'tuot-rehukirjanpito'!G:G,0)))</f>
        <v/>
      </c>
      <c r="AA228" s="224">
        <f>SUMIFS('tuot-INFO'!$K$10:$K$115,'tuot-INFO'!$A$10:$A$115,'tuot-PVÄ'!B228)</f>
        <v>64.599999999999994</v>
      </c>
      <c r="AB228" s="224">
        <f>SUMIFS('rehu-vesi-INFO'!$R:$R,'rehu-vesi-INFO'!$A:$A,'tuot-PVÄ'!B228)</f>
        <v>1700</v>
      </c>
      <c r="AC228" s="224">
        <f>SUMIFS('rehu-vesi-INFO'!$S:$S,'rehu-vesi-INFO'!$A:$A,'tuot-PVÄ'!B228)</f>
        <v>1805</v>
      </c>
      <c r="AD228" s="224">
        <f t="shared" si="65"/>
        <v>105</v>
      </c>
      <c r="AE228" s="224">
        <f t="shared" si="66"/>
        <v>0</v>
      </c>
      <c r="AF228" s="224">
        <f t="shared" si="67"/>
        <v>170</v>
      </c>
      <c r="AG228" s="224">
        <f t="shared" si="68"/>
        <v>10.5</v>
      </c>
      <c r="AH228" s="257">
        <f t="shared" si="70"/>
        <v>0</v>
      </c>
      <c r="AI228" s="258">
        <f t="shared" si="71"/>
        <v>0</v>
      </c>
      <c r="AJ228" s="55">
        <f>SUMIFS('tuot-INFO'!W:W,'tuot-INFO'!$A:$A,'tuot-PVÄ'!B228)</f>
        <v>86.582999999999998</v>
      </c>
      <c r="AK228" s="55">
        <f>SUMIFS('tuot-INFO'!X:X,'tuot-INFO'!$A:$A,'tuot-PVÄ'!B228)</f>
        <v>9.3100000000000023</v>
      </c>
    </row>
    <row r="229" spans="1:37" x14ac:dyDescent="0.25">
      <c r="A229" s="169">
        <f t="shared" si="69"/>
        <v>42715</v>
      </c>
      <c r="B229" s="23">
        <f>ROUNDUP((A229-Yleistiedot!$B$4)/7,0)</f>
        <v>50</v>
      </c>
      <c r="C229" s="16"/>
      <c r="D229" s="25"/>
      <c r="E229" s="25"/>
      <c r="F229" s="25"/>
      <c r="G229" s="25"/>
      <c r="H229" s="25"/>
      <c r="I229" s="65">
        <f t="shared" si="64"/>
        <v>0</v>
      </c>
      <c r="J229" s="26"/>
      <c r="K229" s="25"/>
      <c r="L229" s="16"/>
      <c r="M229" s="16"/>
      <c r="N229" s="25"/>
      <c r="O229" s="30"/>
      <c r="P229" s="252">
        <f t="shared" si="76"/>
        <v>9990</v>
      </c>
      <c r="Q229" s="253">
        <f t="shared" si="77"/>
        <v>0</v>
      </c>
      <c r="R229" s="253">
        <f t="shared" si="78"/>
        <v>0</v>
      </c>
      <c r="S229" s="251">
        <f>SUMIFS('tuot-rehukirjanpito'!D:D,'tuot-rehukirjanpito'!A:A,A229)</f>
        <v>0</v>
      </c>
      <c r="T229" s="254">
        <f t="shared" si="72"/>
        <v>1098.9000000000001</v>
      </c>
      <c r="U229" s="254">
        <f t="shared" si="73"/>
        <v>1098.8999999999999</v>
      </c>
      <c r="V229" s="252">
        <f t="shared" si="74"/>
        <v>-249450.29999999909</v>
      </c>
      <c r="W229" s="255">
        <f t="shared" si="75"/>
        <v>-226.99999999999915</v>
      </c>
      <c r="X229" s="256" t="str">
        <f t="shared" si="79"/>
        <v/>
      </c>
      <c r="Y229" s="256" t="str">
        <f t="shared" si="80"/>
        <v/>
      </c>
      <c r="Z229" s="224" t="str">
        <f>IF(IFERROR(INDEX('tuot-rehukirjanpito'!I:I,MATCH(A229,'tuot-rehukirjanpito'!G:G,0)),)=0,"",INDEX('tuot-rehukirjanpito'!I:I,MATCH(A229,'tuot-rehukirjanpito'!G:G,0)))</f>
        <v/>
      </c>
      <c r="AA229" s="224">
        <f>SUMIFS('tuot-INFO'!$K$10:$K$115,'tuot-INFO'!$A$10:$A$115,'tuot-PVÄ'!B229)</f>
        <v>64.599999999999994</v>
      </c>
      <c r="AB229" s="224">
        <f>SUMIFS('rehu-vesi-INFO'!$R:$R,'rehu-vesi-INFO'!$A:$A,'tuot-PVÄ'!B229)</f>
        <v>1700</v>
      </c>
      <c r="AC229" s="224">
        <f>SUMIFS('rehu-vesi-INFO'!$S:$S,'rehu-vesi-INFO'!$A:$A,'tuot-PVÄ'!B229)</f>
        <v>1805</v>
      </c>
      <c r="AD229" s="224">
        <f t="shared" si="65"/>
        <v>105</v>
      </c>
      <c r="AE229" s="224">
        <f t="shared" si="66"/>
        <v>0</v>
      </c>
      <c r="AF229" s="224">
        <f t="shared" si="67"/>
        <v>170</v>
      </c>
      <c r="AG229" s="224">
        <f t="shared" si="68"/>
        <v>10.5</v>
      </c>
      <c r="AH229" s="257">
        <f t="shared" si="70"/>
        <v>0</v>
      </c>
      <c r="AI229" s="258">
        <f t="shared" si="71"/>
        <v>0</v>
      </c>
      <c r="AJ229" s="55">
        <f>SUMIFS('tuot-INFO'!W:W,'tuot-INFO'!$A:$A,'tuot-PVÄ'!B229)</f>
        <v>86.582999999999998</v>
      </c>
      <c r="AK229" s="55">
        <f>SUMIFS('tuot-INFO'!X:X,'tuot-INFO'!$A:$A,'tuot-PVÄ'!B229)</f>
        <v>9.3100000000000023</v>
      </c>
    </row>
    <row r="230" spans="1:37" x14ac:dyDescent="0.25">
      <c r="A230" s="169">
        <f t="shared" si="69"/>
        <v>42716</v>
      </c>
      <c r="B230" s="23">
        <f>ROUNDUP((A230-Yleistiedot!$B$4)/7,0)</f>
        <v>50</v>
      </c>
      <c r="C230" s="16"/>
      <c r="D230" s="25"/>
      <c r="E230" s="25"/>
      <c r="F230" s="25"/>
      <c r="G230" s="25"/>
      <c r="H230" s="25"/>
      <c r="I230" s="65">
        <f t="shared" si="64"/>
        <v>0</v>
      </c>
      <c r="J230" s="26"/>
      <c r="K230" s="25"/>
      <c r="L230" s="16"/>
      <c r="M230" s="16"/>
      <c r="N230" s="25"/>
      <c r="O230" s="30"/>
      <c r="P230" s="252">
        <f t="shared" si="76"/>
        <v>9990</v>
      </c>
      <c r="Q230" s="253">
        <f t="shared" si="77"/>
        <v>0</v>
      </c>
      <c r="R230" s="253">
        <f t="shared" si="78"/>
        <v>0</v>
      </c>
      <c r="S230" s="251">
        <f>SUMIFS('tuot-rehukirjanpito'!D:D,'tuot-rehukirjanpito'!A:A,A230)</f>
        <v>0</v>
      </c>
      <c r="T230" s="254">
        <f t="shared" si="72"/>
        <v>1098.9000000000001</v>
      </c>
      <c r="U230" s="254">
        <f t="shared" si="73"/>
        <v>1098.8999999999999</v>
      </c>
      <c r="V230" s="252">
        <f t="shared" si="74"/>
        <v>-250549.19999999908</v>
      </c>
      <c r="W230" s="255">
        <f t="shared" si="75"/>
        <v>-227.99999999999915</v>
      </c>
      <c r="X230" s="256" t="str">
        <f t="shared" si="79"/>
        <v/>
      </c>
      <c r="Y230" s="256" t="str">
        <f t="shared" si="80"/>
        <v/>
      </c>
      <c r="Z230" s="224" t="str">
        <f>IF(IFERROR(INDEX('tuot-rehukirjanpito'!I:I,MATCH(A230,'tuot-rehukirjanpito'!G:G,0)),)=0,"",INDEX('tuot-rehukirjanpito'!I:I,MATCH(A230,'tuot-rehukirjanpito'!G:G,0)))</f>
        <v/>
      </c>
      <c r="AA230" s="224">
        <f>SUMIFS('tuot-INFO'!$K$10:$K$115,'tuot-INFO'!$A$10:$A$115,'tuot-PVÄ'!B230)</f>
        <v>64.599999999999994</v>
      </c>
      <c r="AB230" s="224">
        <f>SUMIFS('rehu-vesi-INFO'!$R:$R,'rehu-vesi-INFO'!$A:$A,'tuot-PVÄ'!B230)</f>
        <v>1700</v>
      </c>
      <c r="AC230" s="224">
        <f>SUMIFS('rehu-vesi-INFO'!$S:$S,'rehu-vesi-INFO'!$A:$A,'tuot-PVÄ'!B230)</f>
        <v>1805</v>
      </c>
      <c r="AD230" s="224">
        <f t="shared" si="65"/>
        <v>105</v>
      </c>
      <c r="AE230" s="224">
        <f t="shared" si="66"/>
        <v>0</v>
      </c>
      <c r="AF230" s="224">
        <f t="shared" si="67"/>
        <v>170</v>
      </c>
      <c r="AG230" s="224">
        <f t="shared" si="68"/>
        <v>10.5</v>
      </c>
      <c r="AH230" s="257">
        <f t="shared" si="70"/>
        <v>0</v>
      </c>
      <c r="AI230" s="258">
        <f t="shared" si="71"/>
        <v>0</v>
      </c>
      <c r="AJ230" s="55">
        <f>SUMIFS('tuot-INFO'!W:W,'tuot-INFO'!$A:$A,'tuot-PVÄ'!B230)</f>
        <v>86.582999999999998</v>
      </c>
      <c r="AK230" s="55">
        <f>SUMIFS('tuot-INFO'!X:X,'tuot-INFO'!$A:$A,'tuot-PVÄ'!B230)</f>
        <v>9.3100000000000023</v>
      </c>
    </row>
    <row r="231" spans="1:37" x14ac:dyDescent="0.25">
      <c r="A231" s="169">
        <f t="shared" si="69"/>
        <v>42717</v>
      </c>
      <c r="B231" s="23">
        <f>ROUNDUP((A231-Yleistiedot!$B$4)/7,0)</f>
        <v>50</v>
      </c>
      <c r="C231" s="16"/>
      <c r="D231" s="25"/>
      <c r="E231" s="25"/>
      <c r="F231" s="25"/>
      <c r="G231" s="25"/>
      <c r="H231" s="25"/>
      <c r="I231" s="65">
        <f t="shared" si="64"/>
        <v>0</v>
      </c>
      <c r="J231" s="26"/>
      <c r="K231" s="25"/>
      <c r="L231" s="16"/>
      <c r="M231" s="16"/>
      <c r="N231" s="25"/>
      <c r="O231" s="30"/>
      <c r="P231" s="252">
        <f t="shared" si="76"/>
        <v>9990</v>
      </c>
      <c r="Q231" s="253">
        <f t="shared" si="77"/>
        <v>0</v>
      </c>
      <c r="R231" s="253">
        <f t="shared" si="78"/>
        <v>0</v>
      </c>
      <c r="S231" s="251">
        <f>SUMIFS('tuot-rehukirjanpito'!D:D,'tuot-rehukirjanpito'!A:A,A231)</f>
        <v>0</v>
      </c>
      <c r="T231" s="254">
        <f t="shared" si="72"/>
        <v>1098.9000000000001</v>
      </c>
      <c r="U231" s="254">
        <f t="shared" si="73"/>
        <v>1098.8999999999999</v>
      </c>
      <c r="V231" s="252">
        <f t="shared" si="74"/>
        <v>-251648.09999999907</v>
      </c>
      <c r="W231" s="255">
        <f t="shared" si="75"/>
        <v>-228.99999999999915</v>
      </c>
      <c r="X231" s="256" t="str">
        <f t="shared" si="79"/>
        <v/>
      </c>
      <c r="Y231" s="256" t="str">
        <f t="shared" si="80"/>
        <v/>
      </c>
      <c r="Z231" s="224" t="str">
        <f>IF(IFERROR(INDEX('tuot-rehukirjanpito'!I:I,MATCH(A231,'tuot-rehukirjanpito'!G:G,0)),)=0,"",INDEX('tuot-rehukirjanpito'!I:I,MATCH(A231,'tuot-rehukirjanpito'!G:G,0)))</f>
        <v/>
      </c>
      <c r="AA231" s="224">
        <f>SUMIFS('tuot-INFO'!$K$10:$K$115,'tuot-INFO'!$A$10:$A$115,'tuot-PVÄ'!B231)</f>
        <v>64.599999999999994</v>
      </c>
      <c r="AB231" s="224">
        <f>SUMIFS('rehu-vesi-INFO'!$R:$R,'rehu-vesi-INFO'!$A:$A,'tuot-PVÄ'!B231)</f>
        <v>1700</v>
      </c>
      <c r="AC231" s="224">
        <f>SUMIFS('rehu-vesi-INFO'!$S:$S,'rehu-vesi-INFO'!$A:$A,'tuot-PVÄ'!B231)</f>
        <v>1805</v>
      </c>
      <c r="AD231" s="224">
        <f t="shared" si="65"/>
        <v>105</v>
      </c>
      <c r="AE231" s="224">
        <f t="shared" si="66"/>
        <v>0</v>
      </c>
      <c r="AF231" s="224">
        <f t="shared" si="67"/>
        <v>170</v>
      </c>
      <c r="AG231" s="224">
        <f t="shared" si="68"/>
        <v>10.5</v>
      </c>
      <c r="AH231" s="257">
        <f t="shared" si="70"/>
        <v>0</v>
      </c>
      <c r="AI231" s="258">
        <f t="shared" si="71"/>
        <v>0</v>
      </c>
      <c r="AJ231" s="55">
        <f>SUMIFS('tuot-INFO'!W:W,'tuot-INFO'!$A:$A,'tuot-PVÄ'!B231)</f>
        <v>86.582999999999998</v>
      </c>
      <c r="AK231" s="55">
        <f>SUMIFS('tuot-INFO'!X:X,'tuot-INFO'!$A:$A,'tuot-PVÄ'!B231)</f>
        <v>9.3100000000000023</v>
      </c>
    </row>
    <row r="232" spans="1:37" x14ac:dyDescent="0.25">
      <c r="A232" s="169">
        <f t="shared" si="69"/>
        <v>42718</v>
      </c>
      <c r="B232" s="23">
        <f>ROUNDUP((A232-Yleistiedot!$B$4)/7,0)</f>
        <v>50</v>
      </c>
      <c r="C232" s="16"/>
      <c r="D232" s="25"/>
      <c r="E232" s="25"/>
      <c r="F232" s="25"/>
      <c r="G232" s="25"/>
      <c r="H232" s="25"/>
      <c r="I232" s="65">
        <f t="shared" si="64"/>
        <v>0</v>
      </c>
      <c r="J232" s="26"/>
      <c r="K232" s="25"/>
      <c r="L232" s="16"/>
      <c r="M232" s="16"/>
      <c r="N232" s="25"/>
      <c r="O232" s="30"/>
      <c r="P232" s="252">
        <f t="shared" si="76"/>
        <v>9990</v>
      </c>
      <c r="Q232" s="253">
        <f t="shared" si="77"/>
        <v>0</v>
      </c>
      <c r="R232" s="253">
        <f t="shared" si="78"/>
        <v>0</v>
      </c>
      <c r="S232" s="251">
        <f>SUMIFS('tuot-rehukirjanpito'!D:D,'tuot-rehukirjanpito'!A:A,A232)</f>
        <v>0</v>
      </c>
      <c r="T232" s="254">
        <f t="shared" si="72"/>
        <v>1098.9000000000001</v>
      </c>
      <c r="U232" s="254">
        <f t="shared" si="73"/>
        <v>1098.8999999999999</v>
      </c>
      <c r="V232" s="252">
        <f t="shared" si="74"/>
        <v>-252746.99999999907</v>
      </c>
      <c r="W232" s="255">
        <f t="shared" si="75"/>
        <v>-229.99999999999915</v>
      </c>
      <c r="X232" s="256" t="str">
        <f t="shared" si="79"/>
        <v/>
      </c>
      <c r="Y232" s="256" t="str">
        <f t="shared" si="80"/>
        <v/>
      </c>
      <c r="Z232" s="224" t="str">
        <f>IF(IFERROR(INDEX('tuot-rehukirjanpito'!I:I,MATCH(A232,'tuot-rehukirjanpito'!G:G,0)),)=0,"",INDEX('tuot-rehukirjanpito'!I:I,MATCH(A232,'tuot-rehukirjanpito'!G:G,0)))</f>
        <v/>
      </c>
      <c r="AA232" s="224">
        <f>SUMIFS('tuot-INFO'!$K$10:$K$115,'tuot-INFO'!$A$10:$A$115,'tuot-PVÄ'!B232)</f>
        <v>64.599999999999994</v>
      </c>
      <c r="AB232" s="224">
        <f>SUMIFS('rehu-vesi-INFO'!$R:$R,'rehu-vesi-INFO'!$A:$A,'tuot-PVÄ'!B232)</f>
        <v>1700</v>
      </c>
      <c r="AC232" s="224">
        <f>SUMIFS('rehu-vesi-INFO'!$S:$S,'rehu-vesi-INFO'!$A:$A,'tuot-PVÄ'!B232)</f>
        <v>1805</v>
      </c>
      <c r="AD232" s="224">
        <f t="shared" si="65"/>
        <v>105</v>
      </c>
      <c r="AE232" s="224">
        <f t="shared" si="66"/>
        <v>0</v>
      </c>
      <c r="AF232" s="224">
        <f t="shared" si="67"/>
        <v>170</v>
      </c>
      <c r="AG232" s="224">
        <f t="shared" si="68"/>
        <v>10.5</v>
      </c>
      <c r="AH232" s="257">
        <f t="shared" si="70"/>
        <v>0</v>
      </c>
      <c r="AI232" s="258">
        <f t="shared" si="71"/>
        <v>0</v>
      </c>
      <c r="AJ232" s="55">
        <f>SUMIFS('tuot-INFO'!W:W,'tuot-INFO'!$A:$A,'tuot-PVÄ'!B232)</f>
        <v>86.582999999999998</v>
      </c>
      <c r="AK232" s="55">
        <f>SUMIFS('tuot-INFO'!X:X,'tuot-INFO'!$A:$A,'tuot-PVÄ'!B232)</f>
        <v>9.3100000000000023</v>
      </c>
    </row>
    <row r="233" spans="1:37" x14ac:dyDescent="0.25">
      <c r="A233" s="169">
        <f t="shared" si="69"/>
        <v>42719</v>
      </c>
      <c r="B233" s="23">
        <f>ROUNDUP((A233-Yleistiedot!$B$4)/7,0)</f>
        <v>50</v>
      </c>
      <c r="C233" s="16"/>
      <c r="D233" s="25"/>
      <c r="E233" s="25"/>
      <c r="F233" s="25"/>
      <c r="G233" s="25"/>
      <c r="H233" s="25"/>
      <c r="I233" s="65">
        <f t="shared" si="64"/>
        <v>0</v>
      </c>
      <c r="J233" s="26"/>
      <c r="K233" s="25"/>
      <c r="L233" s="16"/>
      <c r="M233" s="16"/>
      <c r="N233" s="25"/>
      <c r="O233" s="30"/>
      <c r="P233" s="252">
        <f t="shared" si="76"/>
        <v>9990</v>
      </c>
      <c r="Q233" s="253">
        <f t="shared" si="77"/>
        <v>0</v>
      </c>
      <c r="R233" s="253">
        <f t="shared" si="78"/>
        <v>0</v>
      </c>
      <c r="S233" s="251">
        <f>SUMIFS('tuot-rehukirjanpito'!D:D,'tuot-rehukirjanpito'!A:A,A233)</f>
        <v>0</v>
      </c>
      <c r="T233" s="254">
        <f t="shared" si="72"/>
        <v>1098.9000000000001</v>
      </c>
      <c r="U233" s="254">
        <f t="shared" si="73"/>
        <v>1098.8999999999999</v>
      </c>
      <c r="V233" s="252">
        <f t="shared" si="74"/>
        <v>-253845.89999999906</v>
      </c>
      <c r="W233" s="255">
        <f t="shared" si="75"/>
        <v>-230.99999999999912</v>
      </c>
      <c r="X233" s="256" t="str">
        <f t="shared" si="79"/>
        <v/>
      </c>
      <c r="Y233" s="256" t="str">
        <f t="shared" si="80"/>
        <v/>
      </c>
      <c r="Z233" s="224" t="str">
        <f>IF(IFERROR(INDEX('tuot-rehukirjanpito'!I:I,MATCH(A233,'tuot-rehukirjanpito'!G:G,0)),)=0,"",INDEX('tuot-rehukirjanpito'!I:I,MATCH(A233,'tuot-rehukirjanpito'!G:G,0)))</f>
        <v/>
      </c>
      <c r="AA233" s="224">
        <f>SUMIFS('tuot-INFO'!$K$10:$K$115,'tuot-INFO'!$A$10:$A$115,'tuot-PVÄ'!B233)</f>
        <v>64.599999999999994</v>
      </c>
      <c r="AB233" s="224">
        <f>SUMIFS('rehu-vesi-INFO'!$R:$R,'rehu-vesi-INFO'!$A:$A,'tuot-PVÄ'!B233)</f>
        <v>1700</v>
      </c>
      <c r="AC233" s="224">
        <f>SUMIFS('rehu-vesi-INFO'!$S:$S,'rehu-vesi-INFO'!$A:$A,'tuot-PVÄ'!B233)</f>
        <v>1805</v>
      </c>
      <c r="AD233" s="224">
        <f t="shared" si="65"/>
        <v>105</v>
      </c>
      <c r="AE233" s="224">
        <f t="shared" si="66"/>
        <v>0</v>
      </c>
      <c r="AF233" s="224">
        <f t="shared" si="67"/>
        <v>170</v>
      </c>
      <c r="AG233" s="224">
        <f t="shared" si="68"/>
        <v>10.5</v>
      </c>
      <c r="AH233" s="257">
        <f t="shared" si="70"/>
        <v>0</v>
      </c>
      <c r="AI233" s="258">
        <f t="shared" si="71"/>
        <v>0</v>
      </c>
      <c r="AJ233" s="55">
        <f>SUMIFS('tuot-INFO'!W:W,'tuot-INFO'!$A:$A,'tuot-PVÄ'!B233)</f>
        <v>86.582999999999998</v>
      </c>
      <c r="AK233" s="55">
        <f>SUMIFS('tuot-INFO'!X:X,'tuot-INFO'!$A:$A,'tuot-PVÄ'!B233)</f>
        <v>9.3100000000000023</v>
      </c>
    </row>
    <row r="234" spans="1:37" x14ac:dyDescent="0.25">
      <c r="A234" s="169">
        <f t="shared" si="69"/>
        <v>42720</v>
      </c>
      <c r="B234" s="23">
        <f>ROUNDUP((A234-Yleistiedot!$B$4)/7,0)</f>
        <v>50</v>
      </c>
      <c r="C234" s="16"/>
      <c r="D234" s="25"/>
      <c r="E234" s="25"/>
      <c r="F234" s="25"/>
      <c r="G234" s="25"/>
      <c r="H234" s="25"/>
      <c r="I234" s="65">
        <f t="shared" si="64"/>
        <v>0</v>
      </c>
      <c r="J234" s="26"/>
      <c r="K234" s="25"/>
      <c r="L234" s="16"/>
      <c r="M234" s="16"/>
      <c r="N234" s="25"/>
      <c r="O234" s="30"/>
      <c r="P234" s="252">
        <f t="shared" si="76"/>
        <v>9990</v>
      </c>
      <c r="Q234" s="253">
        <f t="shared" si="77"/>
        <v>0</v>
      </c>
      <c r="R234" s="253">
        <f t="shared" si="78"/>
        <v>0</v>
      </c>
      <c r="S234" s="251">
        <f>SUMIFS('tuot-rehukirjanpito'!D:D,'tuot-rehukirjanpito'!A:A,A234)</f>
        <v>0</v>
      </c>
      <c r="T234" s="254">
        <f t="shared" si="72"/>
        <v>1098.9000000000001</v>
      </c>
      <c r="U234" s="254">
        <f t="shared" si="73"/>
        <v>1098.8999999999999</v>
      </c>
      <c r="V234" s="252">
        <f t="shared" si="74"/>
        <v>-254944.79999999906</v>
      </c>
      <c r="W234" s="255">
        <f t="shared" si="75"/>
        <v>-231.99999999999912</v>
      </c>
      <c r="X234" s="256" t="str">
        <f t="shared" si="79"/>
        <v/>
      </c>
      <c r="Y234" s="256" t="str">
        <f t="shared" si="80"/>
        <v/>
      </c>
      <c r="Z234" s="224" t="str">
        <f>IF(IFERROR(INDEX('tuot-rehukirjanpito'!I:I,MATCH(A234,'tuot-rehukirjanpito'!G:G,0)),)=0,"",INDEX('tuot-rehukirjanpito'!I:I,MATCH(A234,'tuot-rehukirjanpito'!G:G,0)))</f>
        <v/>
      </c>
      <c r="AA234" s="224">
        <f>SUMIFS('tuot-INFO'!$K$10:$K$115,'tuot-INFO'!$A$10:$A$115,'tuot-PVÄ'!B234)</f>
        <v>64.599999999999994</v>
      </c>
      <c r="AB234" s="224">
        <f>SUMIFS('rehu-vesi-INFO'!$R:$R,'rehu-vesi-INFO'!$A:$A,'tuot-PVÄ'!B234)</f>
        <v>1700</v>
      </c>
      <c r="AC234" s="224">
        <f>SUMIFS('rehu-vesi-INFO'!$S:$S,'rehu-vesi-INFO'!$A:$A,'tuot-PVÄ'!B234)</f>
        <v>1805</v>
      </c>
      <c r="AD234" s="224">
        <f t="shared" si="65"/>
        <v>105</v>
      </c>
      <c r="AE234" s="224">
        <f t="shared" si="66"/>
        <v>0</v>
      </c>
      <c r="AF234" s="224">
        <f t="shared" si="67"/>
        <v>170</v>
      </c>
      <c r="AG234" s="224">
        <f t="shared" si="68"/>
        <v>10.5</v>
      </c>
      <c r="AH234" s="257">
        <f t="shared" si="70"/>
        <v>0</v>
      </c>
      <c r="AI234" s="258">
        <f t="shared" si="71"/>
        <v>0</v>
      </c>
      <c r="AJ234" s="55">
        <f>SUMIFS('tuot-INFO'!W:W,'tuot-INFO'!$A:$A,'tuot-PVÄ'!B234)</f>
        <v>86.582999999999998</v>
      </c>
      <c r="AK234" s="55">
        <f>SUMIFS('tuot-INFO'!X:X,'tuot-INFO'!$A:$A,'tuot-PVÄ'!B234)</f>
        <v>9.3100000000000023</v>
      </c>
    </row>
    <row r="235" spans="1:37" x14ac:dyDescent="0.25">
      <c r="A235" s="169">
        <f t="shared" si="69"/>
        <v>42721</v>
      </c>
      <c r="B235" s="23">
        <f>ROUNDUP((A235-Yleistiedot!$B$4)/7,0)</f>
        <v>51</v>
      </c>
      <c r="C235" s="16"/>
      <c r="D235" s="25"/>
      <c r="E235" s="25"/>
      <c r="F235" s="25"/>
      <c r="G235" s="25"/>
      <c r="H235" s="25"/>
      <c r="I235" s="65">
        <f t="shared" si="64"/>
        <v>0</v>
      </c>
      <c r="J235" s="26"/>
      <c r="K235" s="25"/>
      <c r="L235" s="16"/>
      <c r="M235" s="16"/>
      <c r="N235" s="25"/>
      <c r="O235" s="30"/>
      <c r="P235" s="252">
        <f t="shared" si="76"/>
        <v>9990</v>
      </c>
      <c r="Q235" s="253">
        <f t="shared" si="77"/>
        <v>0</v>
      </c>
      <c r="R235" s="253">
        <f t="shared" si="78"/>
        <v>0</v>
      </c>
      <c r="S235" s="251">
        <f>SUMIFS('tuot-rehukirjanpito'!D:D,'tuot-rehukirjanpito'!A:A,A235)</f>
        <v>0</v>
      </c>
      <c r="T235" s="254">
        <f t="shared" si="72"/>
        <v>1098.9000000000001</v>
      </c>
      <c r="U235" s="254">
        <f t="shared" si="73"/>
        <v>1098.8999999999999</v>
      </c>
      <c r="V235" s="252">
        <f t="shared" si="74"/>
        <v>-256043.69999999905</v>
      </c>
      <c r="W235" s="255">
        <f t="shared" si="75"/>
        <v>-232.99999999999912</v>
      </c>
      <c r="X235" s="256" t="str">
        <f t="shared" si="79"/>
        <v/>
      </c>
      <c r="Y235" s="256" t="str">
        <f t="shared" si="80"/>
        <v/>
      </c>
      <c r="Z235" s="224" t="str">
        <f>IF(IFERROR(INDEX('tuot-rehukirjanpito'!I:I,MATCH(A235,'tuot-rehukirjanpito'!G:G,0)),)=0,"",INDEX('tuot-rehukirjanpito'!I:I,MATCH(A235,'tuot-rehukirjanpito'!G:G,0)))</f>
        <v/>
      </c>
      <c r="AA235" s="224">
        <f>SUMIFS('tuot-INFO'!$K$10:$K$115,'tuot-INFO'!$A$10:$A$115,'tuot-PVÄ'!B235)</f>
        <v>64.7</v>
      </c>
      <c r="AB235" s="224">
        <f>SUMIFS('rehu-vesi-INFO'!$R:$R,'rehu-vesi-INFO'!$A:$A,'tuot-PVÄ'!B235)</f>
        <v>1701</v>
      </c>
      <c r="AC235" s="224">
        <f>SUMIFS('rehu-vesi-INFO'!$S:$S,'rehu-vesi-INFO'!$A:$A,'tuot-PVÄ'!B235)</f>
        <v>1806</v>
      </c>
      <c r="AD235" s="224">
        <f t="shared" si="65"/>
        <v>105</v>
      </c>
      <c r="AE235" s="224">
        <f t="shared" si="66"/>
        <v>0</v>
      </c>
      <c r="AF235" s="224">
        <f t="shared" si="67"/>
        <v>170.1</v>
      </c>
      <c r="AG235" s="224">
        <f t="shared" si="68"/>
        <v>10.5</v>
      </c>
      <c r="AH235" s="257">
        <f t="shared" si="70"/>
        <v>0</v>
      </c>
      <c r="AI235" s="258">
        <f t="shared" si="71"/>
        <v>0</v>
      </c>
      <c r="AJ235" s="55">
        <f>SUMIFS('tuot-INFO'!W:W,'tuot-INFO'!$A:$A,'tuot-PVÄ'!B235)</f>
        <v>86.304000000000002</v>
      </c>
      <c r="AK235" s="55">
        <f>SUMIFS('tuot-INFO'!X:X,'tuot-INFO'!$A:$A,'tuot-PVÄ'!B235)</f>
        <v>9.2800000000000011</v>
      </c>
    </row>
    <row r="236" spans="1:37" x14ac:dyDescent="0.25">
      <c r="A236" s="169">
        <f t="shared" si="69"/>
        <v>42722</v>
      </c>
      <c r="B236" s="23">
        <f>ROUNDUP((A236-Yleistiedot!$B$4)/7,0)</f>
        <v>51</v>
      </c>
      <c r="C236" s="16"/>
      <c r="D236" s="25"/>
      <c r="E236" s="25"/>
      <c r="F236" s="25"/>
      <c r="G236" s="25"/>
      <c r="H236" s="25"/>
      <c r="I236" s="65">
        <f t="shared" si="64"/>
        <v>0</v>
      </c>
      <c r="J236" s="26"/>
      <c r="K236" s="25"/>
      <c r="L236" s="16"/>
      <c r="M236" s="16"/>
      <c r="N236" s="25"/>
      <c r="O236" s="30"/>
      <c r="P236" s="252">
        <f t="shared" si="76"/>
        <v>9990</v>
      </c>
      <c r="Q236" s="253">
        <f t="shared" si="77"/>
        <v>0</v>
      </c>
      <c r="R236" s="253">
        <f t="shared" si="78"/>
        <v>0</v>
      </c>
      <c r="S236" s="251">
        <f>SUMIFS('tuot-rehukirjanpito'!D:D,'tuot-rehukirjanpito'!A:A,A236)</f>
        <v>0</v>
      </c>
      <c r="T236" s="254">
        <f t="shared" si="72"/>
        <v>1098.9000000000001</v>
      </c>
      <c r="U236" s="254">
        <f t="shared" si="73"/>
        <v>1098.8999999999999</v>
      </c>
      <c r="V236" s="252">
        <f t="shared" si="74"/>
        <v>-257142.59999999905</v>
      </c>
      <c r="W236" s="255">
        <f t="shared" si="75"/>
        <v>-233.99999999999912</v>
      </c>
      <c r="X236" s="256" t="str">
        <f t="shared" si="79"/>
        <v/>
      </c>
      <c r="Y236" s="256" t="str">
        <f t="shared" si="80"/>
        <v/>
      </c>
      <c r="Z236" s="224" t="str">
        <f>IF(IFERROR(INDEX('tuot-rehukirjanpito'!I:I,MATCH(A236,'tuot-rehukirjanpito'!G:G,0)),)=0,"",INDEX('tuot-rehukirjanpito'!I:I,MATCH(A236,'tuot-rehukirjanpito'!G:G,0)))</f>
        <v/>
      </c>
      <c r="AA236" s="224">
        <f>SUMIFS('tuot-INFO'!$K$10:$K$115,'tuot-INFO'!$A$10:$A$115,'tuot-PVÄ'!B236)</f>
        <v>64.7</v>
      </c>
      <c r="AB236" s="224">
        <f>SUMIFS('rehu-vesi-INFO'!$R:$R,'rehu-vesi-INFO'!$A:$A,'tuot-PVÄ'!B236)</f>
        <v>1701</v>
      </c>
      <c r="AC236" s="224">
        <f>SUMIFS('rehu-vesi-INFO'!$S:$S,'rehu-vesi-INFO'!$A:$A,'tuot-PVÄ'!B236)</f>
        <v>1806</v>
      </c>
      <c r="AD236" s="224">
        <f t="shared" si="65"/>
        <v>105</v>
      </c>
      <c r="AE236" s="224">
        <f t="shared" si="66"/>
        <v>0</v>
      </c>
      <c r="AF236" s="224">
        <f t="shared" si="67"/>
        <v>170.1</v>
      </c>
      <c r="AG236" s="224">
        <f t="shared" si="68"/>
        <v>10.5</v>
      </c>
      <c r="AH236" s="257">
        <f t="shared" si="70"/>
        <v>0</v>
      </c>
      <c r="AI236" s="258">
        <f t="shared" si="71"/>
        <v>0</v>
      </c>
      <c r="AJ236" s="55">
        <f>SUMIFS('tuot-INFO'!W:W,'tuot-INFO'!$A:$A,'tuot-PVÄ'!B236)</f>
        <v>86.304000000000002</v>
      </c>
      <c r="AK236" s="55">
        <f>SUMIFS('tuot-INFO'!X:X,'tuot-INFO'!$A:$A,'tuot-PVÄ'!B236)</f>
        <v>9.2800000000000011</v>
      </c>
    </row>
    <row r="237" spans="1:37" x14ac:dyDescent="0.25">
      <c r="A237" s="169">
        <f t="shared" si="69"/>
        <v>42723</v>
      </c>
      <c r="B237" s="23">
        <f>ROUNDUP((A237-Yleistiedot!$B$4)/7,0)</f>
        <v>51</v>
      </c>
      <c r="C237" s="16"/>
      <c r="D237" s="25"/>
      <c r="E237" s="25"/>
      <c r="F237" s="25"/>
      <c r="G237" s="25"/>
      <c r="H237" s="25"/>
      <c r="I237" s="65">
        <f t="shared" si="64"/>
        <v>0</v>
      </c>
      <c r="J237" s="26"/>
      <c r="K237" s="25"/>
      <c r="L237" s="16"/>
      <c r="M237" s="16"/>
      <c r="N237" s="25"/>
      <c r="O237" s="30"/>
      <c r="P237" s="252">
        <f t="shared" si="76"/>
        <v>9990</v>
      </c>
      <c r="Q237" s="253">
        <f t="shared" si="77"/>
        <v>0</v>
      </c>
      <c r="R237" s="253">
        <f t="shared" si="78"/>
        <v>0</v>
      </c>
      <c r="S237" s="251">
        <f>SUMIFS('tuot-rehukirjanpito'!D:D,'tuot-rehukirjanpito'!A:A,A237)</f>
        <v>0</v>
      </c>
      <c r="T237" s="254">
        <f t="shared" si="72"/>
        <v>1098.9000000000001</v>
      </c>
      <c r="U237" s="254">
        <f t="shared" si="73"/>
        <v>1098.8999999999999</v>
      </c>
      <c r="V237" s="252">
        <f t="shared" si="74"/>
        <v>-258241.49999999904</v>
      </c>
      <c r="W237" s="255">
        <f t="shared" si="75"/>
        <v>-234.99999999999912</v>
      </c>
      <c r="X237" s="256" t="str">
        <f t="shared" si="79"/>
        <v/>
      </c>
      <c r="Y237" s="256" t="str">
        <f t="shared" si="80"/>
        <v/>
      </c>
      <c r="Z237" s="224" t="str">
        <f>IF(IFERROR(INDEX('tuot-rehukirjanpito'!I:I,MATCH(A237,'tuot-rehukirjanpito'!G:G,0)),)=0,"",INDEX('tuot-rehukirjanpito'!I:I,MATCH(A237,'tuot-rehukirjanpito'!G:G,0)))</f>
        <v/>
      </c>
      <c r="AA237" s="224">
        <f>SUMIFS('tuot-INFO'!$K$10:$K$115,'tuot-INFO'!$A$10:$A$115,'tuot-PVÄ'!B237)</f>
        <v>64.7</v>
      </c>
      <c r="AB237" s="224">
        <f>SUMIFS('rehu-vesi-INFO'!$R:$R,'rehu-vesi-INFO'!$A:$A,'tuot-PVÄ'!B237)</f>
        <v>1701</v>
      </c>
      <c r="AC237" s="224">
        <f>SUMIFS('rehu-vesi-INFO'!$S:$S,'rehu-vesi-INFO'!$A:$A,'tuot-PVÄ'!B237)</f>
        <v>1806</v>
      </c>
      <c r="AD237" s="224">
        <f t="shared" si="65"/>
        <v>105</v>
      </c>
      <c r="AE237" s="224">
        <f t="shared" si="66"/>
        <v>0</v>
      </c>
      <c r="AF237" s="224">
        <f t="shared" si="67"/>
        <v>170.1</v>
      </c>
      <c r="AG237" s="224">
        <f t="shared" si="68"/>
        <v>10.5</v>
      </c>
      <c r="AH237" s="257">
        <f t="shared" si="70"/>
        <v>0</v>
      </c>
      <c r="AI237" s="258">
        <f t="shared" si="71"/>
        <v>0</v>
      </c>
      <c r="AJ237" s="55">
        <f>SUMIFS('tuot-INFO'!W:W,'tuot-INFO'!$A:$A,'tuot-PVÄ'!B237)</f>
        <v>86.304000000000002</v>
      </c>
      <c r="AK237" s="55">
        <f>SUMIFS('tuot-INFO'!X:X,'tuot-INFO'!$A:$A,'tuot-PVÄ'!B237)</f>
        <v>9.2800000000000011</v>
      </c>
    </row>
    <row r="238" spans="1:37" x14ac:dyDescent="0.25">
      <c r="A238" s="169">
        <f t="shared" si="69"/>
        <v>42724</v>
      </c>
      <c r="B238" s="23">
        <f>ROUNDUP((A238-Yleistiedot!$B$4)/7,0)</f>
        <v>51</v>
      </c>
      <c r="C238" s="16"/>
      <c r="D238" s="25"/>
      <c r="E238" s="25"/>
      <c r="F238" s="25"/>
      <c r="G238" s="25"/>
      <c r="H238" s="25"/>
      <c r="I238" s="65">
        <f t="shared" si="64"/>
        <v>0</v>
      </c>
      <c r="J238" s="26"/>
      <c r="K238" s="25"/>
      <c r="L238" s="16"/>
      <c r="M238" s="16"/>
      <c r="N238" s="25"/>
      <c r="O238" s="30"/>
      <c r="P238" s="252">
        <f t="shared" si="76"/>
        <v>9990</v>
      </c>
      <c r="Q238" s="253">
        <f t="shared" si="77"/>
        <v>0</v>
      </c>
      <c r="R238" s="253">
        <f t="shared" si="78"/>
        <v>0</v>
      </c>
      <c r="S238" s="251">
        <f>SUMIFS('tuot-rehukirjanpito'!D:D,'tuot-rehukirjanpito'!A:A,A238)</f>
        <v>0</v>
      </c>
      <c r="T238" s="254">
        <f t="shared" si="72"/>
        <v>1098.9000000000001</v>
      </c>
      <c r="U238" s="254">
        <f t="shared" si="73"/>
        <v>1098.8999999999999</v>
      </c>
      <c r="V238" s="252">
        <f t="shared" si="74"/>
        <v>-259340.39999999903</v>
      </c>
      <c r="W238" s="255">
        <f t="shared" si="75"/>
        <v>-235.99999999999909</v>
      </c>
      <c r="X238" s="256" t="str">
        <f t="shared" si="79"/>
        <v/>
      </c>
      <c r="Y238" s="256" t="str">
        <f t="shared" si="80"/>
        <v/>
      </c>
      <c r="Z238" s="224" t="str">
        <f>IF(IFERROR(INDEX('tuot-rehukirjanpito'!I:I,MATCH(A238,'tuot-rehukirjanpito'!G:G,0)),)=0,"",INDEX('tuot-rehukirjanpito'!I:I,MATCH(A238,'tuot-rehukirjanpito'!G:G,0)))</f>
        <v/>
      </c>
      <c r="AA238" s="224">
        <f>SUMIFS('tuot-INFO'!$K$10:$K$115,'tuot-INFO'!$A$10:$A$115,'tuot-PVÄ'!B238)</f>
        <v>64.7</v>
      </c>
      <c r="AB238" s="224">
        <f>SUMIFS('rehu-vesi-INFO'!$R:$R,'rehu-vesi-INFO'!$A:$A,'tuot-PVÄ'!B238)</f>
        <v>1701</v>
      </c>
      <c r="AC238" s="224">
        <f>SUMIFS('rehu-vesi-INFO'!$S:$S,'rehu-vesi-INFO'!$A:$A,'tuot-PVÄ'!B238)</f>
        <v>1806</v>
      </c>
      <c r="AD238" s="224">
        <f t="shared" si="65"/>
        <v>105</v>
      </c>
      <c r="AE238" s="224">
        <f t="shared" si="66"/>
        <v>0</v>
      </c>
      <c r="AF238" s="224">
        <f t="shared" si="67"/>
        <v>170.1</v>
      </c>
      <c r="AG238" s="224">
        <f t="shared" si="68"/>
        <v>10.5</v>
      </c>
      <c r="AH238" s="257">
        <f t="shared" si="70"/>
        <v>0</v>
      </c>
      <c r="AI238" s="258">
        <f t="shared" si="71"/>
        <v>0</v>
      </c>
      <c r="AJ238" s="55">
        <f>SUMIFS('tuot-INFO'!W:W,'tuot-INFO'!$A:$A,'tuot-PVÄ'!B238)</f>
        <v>86.304000000000002</v>
      </c>
      <c r="AK238" s="55">
        <f>SUMIFS('tuot-INFO'!X:X,'tuot-INFO'!$A:$A,'tuot-PVÄ'!B238)</f>
        <v>9.2800000000000011</v>
      </c>
    </row>
    <row r="239" spans="1:37" x14ac:dyDescent="0.25">
      <c r="A239" s="169">
        <f t="shared" si="69"/>
        <v>42725</v>
      </c>
      <c r="B239" s="23">
        <f>ROUNDUP((A239-Yleistiedot!$B$4)/7,0)</f>
        <v>51</v>
      </c>
      <c r="C239" s="16"/>
      <c r="D239" s="25"/>
      <c r="E239" s="25"/>
      <c r="F239" s="25"/>
      <c r="G239" s="25"/>
      <c r="H239" s="25"/>
      <c r="I239" s="65">
        <f t="shared" si="64"/>
        <v>0</v>
      </c>
      <c r="J239" s="26"/>
      <c r="K239" s="25"/>
      <c r="L239" s="16"/>
      <c r="M239" s="16"/>
      <c r="N239" s="25"/>
      <c r="O239" s="30"/>
      <c r="P239" s="252">
        <f t="shared" si="76"/>
        <v>9990</v>
      </c>
      <c r="Q239" s="253">
        <f t="shared" si="77"/>
        <v>0</v>
      </c>
      <c r="R239" s="253">
        <f t="shared" si="78"/>
        <v>0</v>
      </c>
      <c r="S239" s="251">
        <f>SUMIFS('tuot-rehukirjanpito'!D:D,'tuot-rehukirjanpito'!A:A,A239)</f>
        <v>0</v>
      </c>
      <c r="T239" s="254">
        <f t="shared" si="72"/>
        <v>1098.9000000000001</v>
      </c>
      <c r="U239" s="254">
        <f t="shared" si="73"/>
        <v>1098.8999999999999</v>
      </c>
      <c r="V239" s="252">
        <f t="shared" si="74"/>
        <v>-260439.29999999903</v>
      </c>
      <c r="W239" s="255">
        <f t="shared" si="75"/>
        <v>-236.99999999999909</v>
      </c>
      <c r="X239" s="256" t="str">
        <f t="shared" si="79"/>
        <v/>
      </c>
      <c r="Y239" s="256" t="str">
        <f t="shared" si="80"/>
        <v/>
      </c>
      <c r="Z239" s="224" t="str">
        <f>IF(IFERROR(INDEX('tuot-rehukirjanpito'!I:I,MATCH(A239,'tuot-rehukirjanpito'!G:G,0)),)=0,"",INDEX('tuot-rehukirjanpito'!I:I,MATCH(A239,'tuot-rehukirjanpito'!G:G,0)))</f>
        <v/>
      </c>
      <c r="AA239" s="224">
        <f>SUMIFS('tuot-INFO'!$K$10:$K$115,'tuot-INFO'!$A$10:$A$115,'tuot-PVÄ'!B239)</f>
        <v>64.7</v>
      </c>
      <c r="AB239" s="224">
        <f>SUMIFS('rehu-vesi-INFO'!$R:$R,'rehu-vesi-INFO'!$A:$A,'tuot-PVÄ'!B239)</f>
        <v>1701</v>
      </c>
      <c r="AC239" s="224">
        <f>SUMIFS('rehu-vesi-INFO'!$S:$S,'rehu-vesi-INFO'!$A:$A,'tuot-PVÄ'!B239)</f>
        <v>1806</v>
      </c>
      <c r="AD239" s="224">
        <f t="shared" si="65"/>
        <v>105</v>
      </c>
      <c r="AE239" s="224">
        <f t="shared" si="66"/>
        <v>0</v>
      </c>
      <c r="AF239" s="224">
        <f t="shared" si="67"/>
        <v>170.1</v>
      </c>
      <c r="AG239" s="224">
        <f t="shared" si="68"/>
        <v>10.5</v>
      </c>
      <c r="AH239" s="257">
        <f t="shared" si="70"/>
        <v>0</v>
      </c>
      <c r="AI239" s="258">
        <f t="shared" si="71"/>
        <v>0</v>
      </c>
      <c r="AJ239" s="55">
        <f>SUMIFS('tuot-INFO'!W:W,'tuot-INFO'!$A:$A,'tuot-PVÄ'!B239)</f>
        <v>86.304000000000002</v>
      </c>
      <c r="AK239" s="55">
        <f>SUMIFS('tuot-INFO'!X:X,'tuot-INFO'!$A:$A,'tuot-PVÄ'!B239)</f>
        <v>9.2800000000000011</v>
      </c>
    </row>
    <row r="240" spans="1:37" x14ac:dyDescent="0.25">
      <c r="A240" s="169">
        <f t="shared" si="69"/>
        <v>42726</v>
      </c>
      <c r="B240" s="23">
        <f>ROUNDUP((A240-Yleistiedot!$B$4)/7,0)</f>
        <v>51</v>
      </c>
      <c r="C240" s="16"/>
      <c r="D240" s="25"/>
      <c r="E240" s="25"/>
      <c r="F240" s="25"/>
      <c r="G240" s="25"/>
      <c r="H240" s="25"/>
      <c r="I240" s="65">
        <f t="shared" si="64"/>
        <v>0</v>
      </c>
      <c r="J240" s="26"/>
      <c r="K240" s="25"/>
      <c r="L240" s="16"/>
      <c r="M240" s="16"/>
      <c r="N240" s="25"/>
      <c r="O240" s="30"/>
      <c r="P240" s="252">
        <f t="shared" si="76"/>
        <v>9990</v>
      </c>
      <c r="Q240" s="253">
        <f t="shared" si="77"/>
        <v>0</v>
      </c>
      <c r="R240" s="253">
        <f t="shared" si="78"/>
        <v>0</v>
      </c>
      <c r="S240" s="251">
        <f>SUMIFS('tuot-rehukirjanpito'!D:D,'tuot-rehukirjanpito'!A:A,A240)</f>
        <v>0</v>
      </c>
      <c r="T240" s="254">
        <f t="shared" si="72"/>
        <v>1098.9000000000001</v>
      </c>
      <c r="U240" s="254">
        <f t="shared" si="73"/>
        <v>1098.8999999999999</v>
      </c>
      <c r="V240" s="252">
        <f t="shared" si="74"/>
        <v>-261538.19999999902</v>
      </c>
      <c r="W240" s="255">
        <f t="shared" si="75"/>
        <v>-237.99999999999909</v>
      </c>
      <c r="X240" s="256" t="str">
        <f t="shared" si="79"/>
        <v/>
      </c>
      <c r="Y240" s="256" t="str">
        <f t="shared" si="80"/>
        <v/>
      </c>
      <c r="Z240" s="224" t="str">
        <f>IF(IFERROR(INDEX('tuot-rehukirjanpito'!I:I,MATCH(A240,'tuot-rehukirjanpito'!G:G,0)),)=0,"",INDEX('tuot-rehukirjanpito'!I:I,MATCH(A240,'tuot-rehukirjanpito'!G:G,0)))</f>
        <v/>
      </c>
      <c r="AA240" s="224">
        <f>SUMIFS('tuot-INFO'!$K$10:$K$115,'tuot-INFO'!$A$10:$A$115,'tuot-PVÄ'!B240)</f>
        <v>64.7</v>
      </c>
      <c r="AB240" s="224">
        <f>SUMIFS('rehu-vesi-INFO'!$R:$R,'rehu-vesi-INFO'!$A:$A,'tuot-PVÄ'!B240)</f>
        <v>1701</v>
      </c>
      <c r="AC240" s="224">
        <f>SUMIFS('rehu-vesi-INFO'!$S:$S,'rehu-vesi-INFO'!$A:$A,'tuot-PVÄ'!B240)</f>
        <v>1806</v>
      </c>
      <c r="AD240" s="224">
        <f t="shared" si="65"/>
        <v>105</v>
      </c>
      <c r="AE240" s="224">
        <f t="shared" si="66"/>
        <v>0</v>
      </c>
      <c r="AF240" s="224">
        <f t="shared" si="67"/>
        <v>170.1</v>
      </c>
      <c r="AG240" s="224">
        <f t="shared" si="68"/>
        <v>10.5</v>
      </c>
      <c r="AH240" s="257">
        <f t="shared" si="70"/>
        <v>0</v>
      </c>
      <c r="AI240" s="258">
        <f t="shared" si="71"/>
        <v>0</v>
      </c>
      <c r="AJ240" s="55">
        <f>SUMIFS('tuot-INFO'!W:W,'tuot-INFO'!$A:$A,'tuot-PVÄ'!B240)</f>
        <v>86.304000000000002</v>
      </c>
      <c r="AK240" s="55">
        <f>SUMIFS('tuot-INFO'!X:X,'tuot-INFO'!$A:$A,'tuot-PVÄ'!B240)</f>
        <v>9.2800000000000011</v>
      </c>
    </row>
    <row r="241" spans="1:37" x14ac:dyDescent="0.25">
      <c r="A241" s="169">
        <f t="shared" si="69"/>
        <v>42727</v>
      </c>
      <c r="B241" s="23">
        <f>ROUNDUP((A241-Yleistiedot!$B$4)/7,0)</f>
        <v>51</v>
      </c>
      <c r="C241" s="16"/>
      <c r="D241" s="25"/>
      <c r="E241" s="25"/>
      <c r="F241" s="25"/>
      <c r="G241" s="25"/>
      <c r="H241" s="25"/>
      <c r="I241" s="65">
        <f t="shared" si="64"/>
        <v>0</v>
      </c>
      <c r="J241" s="26"/>
      <c r="K241" s="25"/>
      <c r="L241" s="16"/>
      <c r="M241" s="16"/>
      <c r="N241" s="25"/>
      <c r="O241" s="30"/>
      <c r="P241" s="252">
        <f t="shared" si="76"/>
        <v>9990</v>
      </c>
      <c r="Q241" s="253">
        <f t="shared" si="77"/>
        <v>0</v>
      </c>
      <c r="R241" s="253">
        <f t="shared" si="78"/>
        <v>0</v>
      </c>
      <c r="S241" s="251">
        <f>SUMIFS('tuot-rehukirjanpito'!D:D,'tuot-rehukirjanpito'!A:A,A241)</f>
        <v>0</v>
      </c>
      <c r="T241" s="254">
        <f t="shared" si="72"/>
        <v>1098.9000000000001</v>
      </c>
      <c r="U241" s="254">
        <f t="shared" si="73"/>
        <v>1098.8999999999999</v>
      </c>
      <c r="V241" s="252">
        <f t="shared" si="74"/>
        <v>-262637.09999999905</v>
      </c>
      <c r="W241" s="255">
        <f t="shared" si="75"/>
        <v>-238.99999999999912</v>
      </c>
      <c r="X241" s="256" t="str">
        <f t="shared" si="79"/>
        <v/>
      </c>
      <c r="Y241" s="256" t="str">
        <f t="shared" si="80"/>
        <v/>
      </c>
      <c r="Z241" s="224" t="str">
        <f>IF(IFERROR(INDEX('tuot-rehukirjanpito'!I:I,MATCH(A241,'tuot-rehukirjanpito'!G:G,0)),)=0,"",INDEX('tuot-rehukirjanpito'!I:I,MATCH(A241,'tuot-rehukirjanpito'!G:G,0)))</f>
        <v/>
      </c>
      <c r="AA241" s="224">
        <f>SUMIFS('tuot-INFO'!$K$10:$K$115,'tuot-INFO'!$A$10:$A$115,'tuot-PVÄ'!B241)</f>
        <v>64.7</v>
      </c>
      <c r="AB241" s="224">
        <f>SUMIFS('rehu-vesi-INFO'!$R:$R,'rehu-vesi-INFO'!$A:$A,'tuot-PVÄ'!B241)</f>
        <v>1701</v>
      </c>
      <c r="AC241" s="224">
        <f>SUMIFS('rehu-vesi-INFO'!$S:$S,'rehu-vesi-INFO'!$A:$A,'tuot-PVÄ'!B241)</f>
        <v>1806</v>
      </c>
      <c r="AD241" s="224">
        <f t="shared" si="65"/>
        <v>105</v>
      </c>
      <c r="AE241" s="224">
        <f t="shared" si="66"/>
        <v>0</v>
      </c>
      <c r="AF241" s="224">
        <f t="shared" si="67"/>
        <v>170.1</v>
      </c>
      <c r="AG241" s="224">
        <f t="shared" si="68"/>
        <v>10.5</v>
      </c>
      <c r="AH241" s="257">
        <f t="shared" si="70"/>
        <v>0</v>
      </c>
      <c r="AI241" s="258">
        <f t="shared" si="71"/>
        <v>0</v>
      </c>
      <c r="AJ241" s="55">
        <f>SUMIFS('tuot-INFO'!W:W,'tuot-INFO'!$A:$A,'tuot-PVÄ'!B241)</f>
        <v>86.304000000000002</v>
      </c>
      <c r="AK241" s="55">
        <f>SUMIFS('tuot-INFO'!X:X,'tuot-INFO'!$A:$A,'tuot-PVÄ'!B241)</f>
        <v>9.2800000000000011</v>
      </c>
    </row>
    <row r="242" spans="1:37" x14ac:dyDescent="0.25">
      <c r="A242" s="169">
        <f t="shared" si="69"/>
        <v>42728</v>
      </c>
      <c r="B242" s="23">
        <f>ROUNDUP((A242-Yleistiedot!$B$4)/7,0)</f>
        <v>52</v>
      </c>
      <c r="C242" s="16"/>
      <c r="D242" s="25"/>
      <c r="E242" s="25"/>
      <c r="F242" s="25"/>
      <c r="G242" s="25"/>
      <c r="H242" s="25"/>
      <c r="I242" s="65">
        <f t="shared" si="64"/>
        <v>0</v>
      </c>
      <c r="J242" s="26"/>
      <c r="K242" s="25"/>
      <c r="L242" s="16"/>
      <c r="M242" s="16"/>
      <c r="N242" s="25"/>
      <c r="O242" s="30"/>
      <c r="P242" s="252">
        <f t="shared" si="76"/>
        <v>9990</v>
      </c>
      <c r="Q242" s="253">
        <f t="shared" si="77"/>
        <v>0</v>
      </c>
      <c r="R242" s="253">
        <f t="shared" si="78"/>
        <v>0</v>
      </c>
      <c r="S242" s="251">
        <f>SUMIFS('tuot-rehukirjanpito'!D:D,'tuot-rehukirjanpito'!A:A,A242)</f>
        <v>0</v>
      </c>
      <c r="T242" s="254">
        <f t="shared" si="72"/>
        <v>1098.9000000000001</v>
      </c>
      <c r="U242" s="254">
        <f t="shared" si="73"/>
        <v>1098.8999999999999</v>
      </c>
      <c r="V242" s="252">
        <f t="shared" si="74"/>
        <v>-263735.99999999907</v>
      </c>
      <c r="W242" s="255">
        <f t="shared" si="75"/>
        <v>-239.99999999999912</v>
      </c>
      <c r="X242" s="256" t="str">
        <f t="shared" si="79"/>
        <v/>
      </c>
      <c r="Y242" s="256" t="str">
        <f t="shared" si="80"/>
        <v/>
      </c>
      <c r="Z242" s="224" t="str">
        <f>IF(IFERROR(INDEX('tuot-rehukirjanpito'!I:I,MATCH(A242,'tuot-rehukirjanpito'!G:G,0)),)=0,"",INDEX('tuot-rehukirjanpito'!I:I,MATCH(A242,'tuot-rehukirjanpito'!G:G,0)))</f>
        <v/>
      </c>
      <c r="AA242" s="224">
        <f>SUMIFS('tuot-INFO'!$K$10:$K$115,'tuot-INFO'!$A$10:$A$115,'tuot-PVÄ'!B242)</f>
        <v>64.900000000000006</v>
      </c>
      <c r="AB242" s="224">
        <f>SUMIFS('rehu-vesi-INFO'!$R:$R,'rehu-vesi-INFO'!$A:$A,'tuot-PVÄ'!B242)</f>
        <v>1702</v>
      </c>
      <c r="AC242" s="224">
        <f>SUMIFS('rehu-vesi-INFO'!$S:$S,'rehu-vesi-INFO'!$A:$A,'tuot-PVÄ'!B242)</f>
        <v>1808</v>
      </c>
      <c r="AD242" s="224">
        <f t="shared" si="65"/>
        <v>106</v>
      </c>
      <c r="AE242" s="224">
        <f t="shared" si="66"/>
        <v>0</v>
      </c>
      <c r="AF242" s="224">
        <f t="shared" si="67"/>
        <v>170.2</v>
      </c>
      <c r="AG242" s="224">
        <f t="shared" si="68"/>
        <v>10.6</v>
      </c>
      <c r="AH242" s="257">
        <f t="shared" si="70"/>
        <v>0</v>
      </c>
      <c r="AI242" s="258">
        <f t="shared" si="71"/>
        <v>0</v>
      </c>
      <c r="AJ242" s="55">
        <f>SUMIFS('tuot-INFO'!W:W,'tuot-INFO'!$A:$A,'tuot-PVÄ'!B242)</f>
        <v>86.025000000000006</v>
      </c>
      <c r="AK242" s="55">
        <f>SUMIFS('tuot-INFO'!X:X,'tuot-INFO'!$A:$A,'tuot-PVÄ'!B242)</f>
        <v>9.25</v>
      </c>
    </row>
    <row r="243" spans="1:37" x14ac:dyDescent="0.25">
      <c r="A243" s="169">
        <f t="shared" si="69"/>
        <v>42729</v>
      </c>
      <c r="B243" s="23">
        <f>ROUNDUP((A243-Yleistiedot!$B$4)/7,0)</f>
        <v>52</v>
      </c>
      <c r="C243" s="16"/>
      <c r="D243" s="25"/>
      <c r="E243" s="25"/>
      <c r="F243" s="25"/>
      <c r="G243" s="25"/>
      <c r="H243" s="25"/>
      <c r="I243" s="65">
        <f t="shared" si="64"/>
        <v>0</v>
      </c>
      <c r="J243" s="26"/>
      <c r="K243" s="25"/>
      <c r="L243" s="16"/>
      <c r="M243" s="16"/>
      <c r="N243" s="25"/>
      <c r="O243" s="30"/>
      <c r="P243" s="252">
        <f t="shared" si="76"/>
        <v>9990</v>
      </c>
      <c r="Q243" s="253">
        <f t="shared" si="77"/>
        <v>0</v>
      </c>
      <c r="R243" s="253">
        <f t="shared" si="78"/>
        <v>0</v>
      </c>
      <c r="S243" s="251">
        <f>SUMIFS('tuot-rehukirjanpito'!D:D,'tuot-rehukirjanpito'!A:A,A243)</f>
        <v>0</v>
      </c>
      <c r="T243" s="254">
        <f t="shared" si="72"/>
        <v>1098.9000000000001</v>
      </c>
      <c r="U243" s="254">
        <f t="shared" si="73"/>
        <v>1098.8999999999999</v>
      </c>
      <c r="V243" s="252">
        <f t="shared" si="74"/>
        <v>-264834.89999999909</v>
      </c>
      <c r="W243" s="255">
        <f t="shared" si="75"/>
        <v>-240.99999999999915</v>
      </c>
      <c r="X243" s="256" t="str">
        <f t="shared" si="79"/>
        <v/>
      </c>
      <c r="Y243" s="256" t="str">
        <f t="shared" si="80"/>
        <v/>
      </c>
      <c r="Z243" s="224" t="str">
        <f>IF(IFERROR(INDEX('tuot-rehukirjanpito'!I:I,MATCH(A243,'tuot-rehukirjanpito'!G:G,0)),)=0,"",INDEX('tuot-rehukirjanpito'!I:I,MATCH(A243,'tuot-rehukirjanpito'!G:G,0)))</f>
        <v/>
      </c>
      <c r="AA243" s="224">
        <f>SUMIFS('tuot-INFO'!$K$10:$K$115,'tuot-INFO'!$A$10:$A$115,'tuot-PVÄ'!B243)</f>
        <v>64.900000000000006</v>
      </c>
      <c r="AB243" s="224">
        <f>SUMIFS('rehu-vesi-INFO'!$R:$R,'rehu-vesi-INFO'!$A:$A,'tuot-PVÄ'!B243)</f>
        <v>1702</v>
      </c>
      <c r="AC243" s="224">
        <f>SUMIFS('rehu-vesi-INFO'!$S:$S,'rehu-vesi-INFO'!$A:$A,'tuot-PVÄ'!B243)</f>
        <v>1808</v>
      </c>
      <c r="AD243" s="224">
        <f t="shared" si="65"/>
        <v>106</v>
      </c>
      <c r="AE243" s="224">
        <f t="shared" si="66"/>
        <v>0</v>
      </c>
      <c r="AF243" s="224">
        <f t="shared" si="67"/>
        <v>170.2</v>
      </c>
      <c r="AG243" s="224">
        <f t="shared" si="68"/>
        <v>10.6</v>
      </c>
      <c r="AH243" s="257">
        <f t="shared" si="70"/>
        <v>0</v>
      </c>
      <c r="AI243" s="258">
        <f t="shared" si="71"/>
        <v>0</v>
      </c>
      <c r="AJ243" s="55">
        <f>SUMIFS('tuot-INFO'!W:W,'tuot-INFO'!$A:$A,'tuot-PVÄ'!B243)</f>
        <v>86.025000000000006</v>
      </c>
      <c r="AK243" s="55">
        <f>SUMIFS('tuot-INFO'!X:X,'tuot-INFO'!$A:$A,'tuot-PVÄ'!B243)</f>
        <v>9.25</v>
      </c>
    </row>
    <row r="244" spans="1:37" x14ac:dyDescent="0.25">
      <c r="A244" s="169">
        <f t="shared" si="69"/>
        <v>42730</v>
      </c>
      <c r="B244" s="23">
        <f>ROUNDUP((A244-Yleistiedot!$B$4)/7,0)</f>
        <v>52</v>
      </c>
      <c r="C244" s="16"/>
      <c r="D244" s="25"/>
      <c r="E244" s="25"/>
      <c r="F244" s="25"/>
      <c r="G244" s="25"/>
      <c r="H244" s="25"/>
      <c r="I244" s="65">
        <f t="shared" si="64"/>
        <v>0</v>
      </c>
      <c r="J244" s="26"/>
      <c r="K244" s="25"/>
      <c r="L244" s="16"/>
      <c r="M244" s="16"/>
      <c r="N244" s="25"/>
      <c r="O244" s="30"/>
      <c r="P244" s="252">
        <f t="shared" si="76"/>
        <v>9990</v>
      </c>
      <c r="Q244" s="253">
        <f t="shared" si="77"/>
        <v>0</v>
      </c>
      <c r="R244" s="253">
        <f t="shared" si="78"/>
        <v>0</v>
      </c>
      <c r="S244" s="251">
        <f>SUMIFS('tuot-rehukirjanpito'!D:D,'tuot-rehukirjanpito'!A:A,A244)</f>
        <v>0</v>
      </c>
      <c r="T244" s="254">
        <f t="shared" si="72"/>
        <v>1098.9000000000001</v>
      </c>
      <c r="U244" s="254">
        <f t="shared" si="73"/>
        <v>1098.8999999999999</v>
      </c>
      <c r="V244" s="252">
        <f t="shared" si="74"/>
        <v>-265933.79999999912</v>
      </c>
      <c r="W244" s="255">
        <f t="shared" si="75"/>
        <v>-241.99999999999918</v>
      </c>
      <c r="X244" s="256" t="str">
        <f t="shared" si="79"/>
        <v/>
      </c>
      <c r="Y244" s="256" t="str">
        <f t="shared" si="80"/>
        <v/>
      </c>
      <c r="Z244" s="224" t="str">
        <f>IF(IFERROR(INDEX('tuot-rehukirjanpito'!I:I,MATCH(A244,'tuot-rehukirjanpito'!G:G,0)),)=0,"",INDEX('tuot-rehukirjanpito'!I:I,MATCH(A244,'tuot-rehukirjanpito'!G:G,0)))</f>
        <v/>
      </c>
      <c r="AA244" s="224">
        <f>SUMIFS('tuot-INFO'!$K$10:$K$115,'tuot-INFO'!$A$10:$A$115,'tuot-PVÄ'!B244)</f>
        <v>64.900000000000006</v>
      </c>
      <c r="AB244" s="224">
        <f>SUMIFS('rehu-vesi-INFO'!$R:$R,'rehu-vesi-INFO'!$A:$A,'tuot-PVÄ'!B244)</f>
        <v>1702</v>
      </c>
      <c r="AC244" s="224">
        <f>SUMIFS('rehu-vesi-INFO'!$S:$S,'rehu-vesi-INFO'!$A:$A,'tuot-PVÄ'!B244)</f>
        <v>1808</v>
      </c>
      <c r="AD244" s="224">
        <f t="shared" si="65"/>
        <v>106</v>
      </c>
      <c r="AE244" s="224">
        <f t="shared" si="66"/>
        <v>0</v>
      </c>
      <c r="AF244" s="224">
        <f t="shared" si="67"/>
        <v>170.2</v>
      </c>
      <c r="AG244" s="224">
        <f t="shared" si="68"/>
        <v>10.6</v>
      </c>
      <c r="AH244" s="257">
        <f t="shared" si="70"/>
        <v>0</v>
      </c>
      <c r="AI244" s="258">
        <f t="shared" si="71"/>
        <v>0</v>
      </c>
      <c r="AJ244" s="55">
        <f>SUMIFS('tuot-INFO'!W:W,'tuot-INFO'!$A:$A,'tuot-PVÄ'!B244)</f>
        <v>86.025000000000006</v>
      </c>
      <c r="AK244" s="55">
        <f>SUMIFS('tuot-INFO'!X:X,'tuot-INFO'!$A:$A,'tuot-PVÄ'!B244)</f>
        <v>9.25</v>
      </c>
    </row>
    <row r="245" spans="1:37" x14ac:dyDescent="0.25">
      <c r="A245" s="169">
        <f t="shared" si="69"/>
        <v>42731</v>
      </c>
      <c r="B245" s="23">
        <f>ROUNDUP((A245-Yleistiedot!$B$4)/7,0)</f>
        <v>52</v>
      </c>
      <c r="C245" s="16"/>
      <c r="D245" s="25"/>
      <c r="E245" s="25"/>
      <c r="F245" s="25"/>
      <c r="G245" s="25"/>
      <c r="H245" s="25"/>
      <c r="I245" s="65">
        <f t="shared" si="64"/>
        <v>0</v>
      </c>
      <c r="J245" s="26"/>
      <c r="K245" s="25"/>
      <c r="L245" s="16"/>
      <c r="M245" s="16"/>
      <c r="N245" s="25"/>
      <c r="O245" s="30"/>
      <c r="P245" s="252">
        <f t="shared" si="76"/>
        <v>9990</v>
      </c>
      <c r="Q245" s="253">
        <f t="shared" si="77"/>
        <v>0</v>
      </c>
      <c r="R245" s="253">
        <f t="shared" si="78"/>
        <v>0</v>
      </c>
      <c r="S245" s="251">
        <f>SUMIFS('tuot-rehukirjanpito'!D:D,'tuot-rehukirjanpito'!A:A,A245)</f>
        <v>0</v>
      </c>
      <c r="T245" s="254">
        <f t="shared" si="72"/>
        <v>1098.9000000000001</v>
      </c>
      <c r="U245" s="254">
        <f t="shared" si="73"/>
        <v>1098.8999999999999</v>
      </c>
      <c r="V245" s="252">
        <f t="shared" si="74"/>
        <v>-267032.69999999914</v>
      </c>
      <c r="W245" s="255">
        <f t="shared" si="75"/>
        <v>-242.9999999999992</v>
      </c>
      <c r="X245" s="256" t="str">
        <f t="shared" si="79"/>
        <v/>
      </c>
      <c r="Y245" s="256" t="str">
        <f t="shared" si="80"/>
        <v/>
      </c>
      <c r="Z245" s="224" t="str">
        <f>IF(IFERROR(INDEX('tuot-rehukirjanpito'!I:I,MATCH(A245,'tuot-rehukirjanpito'!G:G,0)),)=0,"",INDEX('tuot-rehukirjanpito'!I:I,MATCH(A245,'tuot-rehukirjanpito'!G:G,0)))</f>
        <v/>
      </c>
      <c r="AA245" s="224">
        <f>SUMIFS('tuot-INFO'!$K$10:$K$115,'tuot-INFO'!$A$10:$A$115,'tuot-PVÄ'!B245)</f>
        <v>64.900000000000006</v>
      </c>
      <c r="AB245" s="224">
        <f>SUMIFS('rehu-vesi-INFO'!$R:$R,'rehu-vesi-INFO'!$A:$A,'tuot-PVÄ'!B245)</f>
        <v>1702</v>
      </c>
      <c r="AC245" s="224">
        <f>SUMIFS('rehu-vesi-INFO'!$S:$S,'rehu-vesi-INFO'!$A:$A,'tuot-PVÄ'!B245)</f>
        <v>1808</v>
      </c>
      <c r="AD245" s="224">
        <f t="shared" si="65"/>
        <v>106</v>
      </c>
      <c r="AE245" s="224">
        <f t="shared" si="66"/>
        <v>0</v>
      </c>
      <c r="AF245" s="224">
        <f t="shared" si="67"/>
        <v>170.2</v>
      </c>
      <c r="AG245" s="224">
        <f t="shared" si="68"/>
        <v>10.6</v>
      </c>
      <c r="AH245" s="257">
        <f t="shared" si="70"/>
        <v>0</v>
      </c>
      <c r="AI245" s="258">
        <f t="shared" si="71"/>
        <v>0</v>
      </c>
      <c r="AJ245" s="55">
        <f>SUMIFS('tuot-INFO'!W:W,'tuot-INFO'!$A:$A,'tuot-PVÄ'!B245)</f>
        <v>86.025000000000006</v>
      </c>
      <c r="AK245" s="55">
        <f>SUMIFS('tuot-INFO'!X:X,'tuot-INFO'!$A:$A,'tuot-PVÄ'!B245)</f>
        <v>9.25</v>
      </c>
    </row>
    <row r="246" spans="1:37" x14ac:dyDescent="0.25">
      <c r="A246" s="169">
        <f t="shared" si="69"/>
        <v>42732</v>
      </c>
      <c r="B246" s="23">
        <f>ROUNDUP((A246-Yleistiedot!$B$4)/7,0)</f>
        <v>52</v>
      </c>
      <c r="C246" s="16"/>
      <c r="D246" s="25"/>
      <c r="E246" s="25"/>
      <c r="F246" s="25"/>
      <c r="G246" s="25"/>
      <c r="H246" s="25"/>
      <c r="I246" s="65">
        <f t="shared" si="64"/>
        <v>0</v>
      </c>
      <c r="J246" s="26"/>
      <c r="K246" s="25"/>
      <c r="L246" s="16"/>
      <c r="M246" s="16"/>
      <c r="N246" s="25"/>
      <c r="O246" s="30"/>
      <c r="P246" s="252">
        <f t="shared" si="76"/>
        <v>9990</v>
      </c>
      <c r="Q246" s="253">
        <f t="shared" si="77"/>
        <v>0</v>
      </c>
      <c r="R246" s="253">
        <f t="shared" si="78"/>
        <v>0</v>
      </c>
      <c r="S246" s="251">
        <f>SUMIFS('tuot-rehukirjanpito'!D:D,'tuot-rehukirjanpito'!A:A,A246)</f>
        <v>0</v>
      </c>
      <c r="T246" s="254">
        <f t="shared" si="72"/>
        <v>1098.9000000000001</v>
      </c>
      <c r="U246" s="254">
        <f t="shared" si="73"/>
        <v>1098.8999999999999</v>
      </c>
      <c r="V246" s="252">
        <f t="shared" si="74"/>
        <v>-268131.59999999916</v>
      </c>
      <c r="W246" s="255">
        <f t="shared" si="75"/>
        <v>-243.9999999999992</v>
      </c>
      <c r="X246" s="256" t="str">
        <f t="shared" si="79"/>
        <v/>
      </c>
      <c r="Y246" s="256" t="str">
        <f t="shared" si="80"/>
        <v/>
      </c>
      <c r="Z246" s="224" t="str">
        <f>IF(IFERROR(INDEX('tuot-rehukirjanpito'!I:I,MATCH(A246,'tuot-rehukirjanpito'!G:G,0)),)=0,"",INDEX('tuot-rehukirjanpito'!I:I,MATCH(A246,'tuot-rehukirjanpito'!G:G,0)))</f>
        <v/>
      </c>
      <c r="AA246" s="224">
        <f>SUMIFS('tuot-INFO'!$K$10:$K$115,'tuot-INFO'!$A$10:$A$115,'tuot-PVÄ'!B246)</f>
        <v>64.900000000000006</v>
      </c>
      <c r="AB246" s="224">
        <f>SUMIFS('rehu-vesi-INFO'!$R:$R,'rehu-vesi-INFO'!$A:$A,'tuot-PVÄ'!B246)</f>
        <v>1702</v>
      </c>
      <c r="AC246" s="224">
        <f>SUMIFS('rehu-vesi-INFO'!$S:$S,'rehu-vesi-INFO'!$A:$A,'tuot-PVÄ'!B246)</f>
        <v>1808</v>
      </c>
      <c r="AD246" s="224">
        <f t="shared" si="65"/>
        <v>106</v>
      </c>
      <c r="AE246" s="224">
        <f t="shared" si="66"/>
        <v>0</v>
      </c>
      <c r="AF246" s="224">
        <f t="shared" si="67"/>
        <v>170.2</v>
      </c>
      <c r="AG246" s="224">
        <f t="shared" si="68"/>
        <v>10.6</v>
      </c>
      <c r="AH246" s="257">
        <f t="shared" si="70"/>
        <v>0</v>
      </c>
      <c r="AI246" s="258">
        <f t="shared" si="71"/>
        <v>0</v>
      </c>
      <c r="AJ246" s="55">
        <f>SUMIFS('tuot-INFO'!W:W,'tuot-INFO'!$A:$A,'tuot-PVÄ'!B246)</f>
        <v>86.025000000000006</v>
      </c>
      <c r="AK246" s="55">
        <f>SUMIFS('tuot-INFO'!X:X,'tuot-INFO'!$A:$A,'tuot-PVÄ'!B246)</f>
        <v>9.25</v>
      </c>
    </row>
    <row r="247" spans="1:37" x14ac:dyDescent="0.25">
      <c r="A247" s="169">
        <f t="shared" si="69"/>
        <v>42733</v>
      </c>
      <c r="B247" s="23">
        <f>ROUNDUP((A247-Yleistiedot!$B$4)/7,0)</f>
        <v>52</v>
      </c>
      <c r="C247" s="16"/>
      <c r="D247" s="25"/>
      <c r="E247" s="25"/>
      <c r="F247" s="25"/>
      <c r="G247" s="25"/>
      <c r="H247" s="25"/>
      <c r="I247" s="65">
        <f t="shared" si="64"/>
        <v>0</v>
      </c>
      <c r="J247" s="26"/>
      <c r="K247" s="25"/>
      <c r="L247" s="16"/>
      <c r="M247" s="16"/>
      <c r="N247" s="25"/>
      <c r="O247" s="30"/>
      <c r="P247" s="252">
        <f t="shared" si="76"/>
        <v>9990</v>
      </c>
      <c r="Q247" s="253">
        <f t="shared" si="77"/>
        <v>0</v>
      </c>
      <c r="R247" s="253">
        <f t="shared" si="78"/>
        <v>0</v>
      </c>
      <c r="S247" s="251">
        <f>SUMIFS('tuot-rehukirjanpito'!D:D,'tuot-rehukirjanpito'!A:A,A247)</f>
        <v>0</v>
      </c>
      <c r="T247" s="254">
        <f t="shared" si="72"/>
        <v>1098.9000000000001</v>
      </c>
      <c r="U247" s="254">
        <f t="shared" si="73"/>
        <v>1098.8999999999999</v>
      </c>
      <c r="V247" s="252">
        <f t="shared" si="74"/>
        <v>-269230.49999999919</v>
      </c>
      <c r="W247" s="255">
        <f t="shared" si="75"/>
        <v>-244.99999999999923</v>
      </c>
      <c r="X247" s="256" t="str">
        <f t="shared" si="79"/>
        <v/>
      </c>
      <c r="Y247" s="256" t="str">
        <f t="shared" si="80"/>
        <v/>
      </c>
      <c r="Z247" s="224" t="str">
        <f>IF(IFERROR(INDEX('tuot-rehukirjanpito'!I:I,MATCH(A247,'tuot-rehukirjanpito'!G:G,0)),)=0,"",INDEX('tuot-rehukirjanpito'!I:I,MATCH(A247,'tuot-rehukirjanpito'!G:G,0)))</f>
        <v/>
      </c>
      <c r="AA247" s="224">
        <f>SUMIFS('tuot-INFO'!$K$10:$K$115,'tuot-INFO'!$A$10:$A$115,'tuot-PVÄ'!B247)</f>
        <v>64.900000000000006</v>
      </c>
      <c r="AB247" s="224">
        <f>SUMIFS('rehu-vesi-INFO'!$R:$R,'rehu-vesi-INFO'!$A:$A,'tuot-PVÄ'!B247)</f>
        <v>1702</v>
      </c>
      <c r="AC247" s="224">
        <f>SUMIFS('rehu-vesi-INFO'!$S:$S,'rehu-vesi-INFO'!$A:$A,'tuot-PVÄ'!B247)</f>
        <v>1808</v>
      </c>
      <c r="AD247" s="224">
        <f t="shared" si="65"/>
        <v>106</v>
      </c>
      <c r="AE247" s="224">
        <f t="shared" si="66"/>
        <v>0</v>
      </c>
      <c r="AF247" s="224">
        <f t="shared" si="67"/>
        <v>170.2</v>
      </c>
      <c r="AG247" s="224">
        <f t="shared" si="68"/>
        <v>10.6</v>
      </c>
      <c r="AH247" s="257">
        <f t="shared" si="70"/>
        <v>0</v>
      </c>
      <c r="AI247" s="258">
        <f t="shared" si="71"/>
        <v>0</v>
      </c>
      <c r="AJ247" s="55">
        <f>SUMIFS('tuot-INFO'!W:W,'tuot-INFO'!$A:$A,'tuot-PVÄ'!B247)</f>
        <v>86.025000000000006</v>
      </c>
      <c r="AK247" s="55">
        <f>SUMIFS('tuot-INFO'!X:X,'tuot-INFO'!$A:$A,'tuot-PVÄ'!B247)</f>
        <v>9.25</v>
      </c>
    </row>
    <row r="248" spans="1:37" x14ac:dyDescent="0.25">
      <c r="A248" s="169">
        <f t="shared" si="69"/>
        <v>42734</v>
      </c>
      <c r="B248" s="23">
        <f>ROUNDUP((A248-Yleistiedot!$B$4)/7,0)</f>
        <v>52</v>
      </c>
      <c r="C248" s="16"/>
      <c r="D248" s="25"/>
      <c r="E248" s="25"/>
      <c r="F248" s="25"/>
      <c r="G248" s="25"/>
      <c r="H248" s="25"/>
      <c r="I248" s="65">
        <f t="shared" si="64"/>
        <v>0</v>
      </c>
      <c r="J248" s="26"/>
      <c r="K248" s="25"/>
      <c r="L248" s="16"/>
      <c r="M248" s="16"/>
      <c r="N248" s="25"/>
      <c r="O248" s="30"/>
      <c r="P248" s="252">
        <f t="shared" si="76"/>
        <v>9990</v>
      </c>
      <c r="Q248" s="253">
        <f t="shared" si="77"/>
        <v>0</v>
      </c>
      <c r="R248" s="253">
        <f t="shared" si="78"/>
        <v>0</v>
      </c>
      <c r="S248" s="251">
        <f>SUMIFS('tuot-rehukirjanpito'!D:D,'tuot-rehukirjanpito'!A:A,A248)</f>
        <v>0</v>
      </c>
      <c r="T248" s="254">
        <f t="shared" si="72"/>
        <v>1098.9000000000001</v>
      </c>
      <c r="U248" s="254">
        <f t="shared" si="73"/>
        <v>1098.8999999999999</v>
      </c>
      <c r="V248" s="252">
        <f t="shared" si="74"/>
        <v>-270329.39999999921</v>
      </c>
      <c r="W248" s="255">
        <f t="shared" si="75"/>
        <v>-245.99999999999926</v>
      </c>
      <c r="X248" s="256" t="str">
        <f t="shared" si="79"/>
        <v/>
      </c>
      <c r="Y248" s="256" t="str">
        <f t="shared" si="80"/>
        <v/>
      </c>
      <c r="Z248" s="224" t="str">
        <f>IF(IFERROR(INDEX('tuot-rehukirjanpito'!I:I,MATCH(A248,'tuot-rehukirjanpito'!G:G,0)),)=0,"",INDEX('tuot-rehukirjanpito'!I:I,MATCH(A248,'tuot-rehukirjanpito'!G:G,0)))</f>
        <v/>
      </c>
      <c r="AA248" s="224">
        <f>SUMIFS('tuot-INFO'!$K$10:$K$115,'tuot-INFO'!$A$10:$A$115,'tuot-PVÄ'!B248)</f>
        <v>64.900000000000006</v>
      </c>
      <c r="AB248" s="224">
        <f>SUMIFS('rehu-vesi-INFO'!$R:$R,'rehu-vesi-INFO'!$A:$A,'tuot-PVÄ'!B248)</f>
        <v>1702</v>
      </c>
      <c r="AC248" s="224">
        <f>SUMIFS('rehu-vesi-INFO'!$S:$S,'rehu-vesi-INFO'!$A:$A,'tuot-PVÄ'!B248)</f>
        <v>1808</v>
      </c>
      <c r="AD248" s="224">
        <f t="shared" si="65"/>
        <v>106</v>
      </c>
      <c r="AE248" s="224">
        <f t="shared" si="66"/>
        <v>0</v>
      </c>
      <c r="AF248" s="224">
        <f t="shared" si="67"/>
        <v>170.2</v>
      </c>
      <c r="AG248" s="224">
        <f t="shared" si="68"/>
        <v>10.6</v>
      </c>
      <c r="AH248" s="257">
        <f t="shared" si="70"/>
        <v>0</v>
      </c>
      <c r="AI248" s="258">
        <f t="shared" si="71"/>
        <v>0</v>
      </c>
      <c r="AJ248" s="55">
        <f>SUMIFS('tuot-INFO'!W:W,'tuot-INFO'!$A:$A,'tuot-PVÄ'!B248)</f>
        <v>86.025000000000006</v>
      </c>
      <c r="AK248" s="55">
        <f>SUMIFS('tuot-INFO'!X:X,'tuot-INFO'!$A:$A,'tuot-PVÄ'!B248)</f>
        <v>9.25</v>
      </c>
    </row>
    <row r="249" spans="1:37" x14ac:dyDescent="0.25">
      <c r="A249" s="169">
        <f t="shared" si="69"/>
        <v>42735</v>
      </c>
      <c r="B249" s="23">
        <f>ROUNDUP((A249-Yleistiedot!$B$4)/7,0)</f>
        <v>53</v>
      </c>
      <c r="C249" s="16"/>
      <c r="D249" s="25"/>
      <c r="E249" s="25"/>
      <c r="F249" s="25"/>
      <c r="G249" s="25"/>
      <c r="H249" s="25"/>
      <c r="I249" s="65">
        <f t="shared" si="64"/>
        <v>0</v>
      </c>
      <c r="J249" s="26"/>
      <c r="K249" s="25"/>
      <c r="L249" s="16"/>
      <c r="M249" s="16"/>
      <c r="N249" s="25"/>
      <c r="O249" s="30"/>
      <c r="P249" s="252">
        <f t="shared" si="76"/>
        <v>9990</v>
      </c>
      <c r="Q249" s="253">
        <f t="shared" si="77"/>
        <v>0</v>
      </c>
      <c r="R249" s="253">
        <f t="shared" si="78"/>
        <v>0</v>
      </c>
      <c r="S249" s="251">
        <f>SUMIFS('tuot-rehukirjanpito'!D:D,'tuot-rehukirjanpito'!A:A,A249)</f>
        <v>0</v>
      </c>
      <c r="T249" s="254">
        <f t="shared" si="72"/>
        <v>1098.9000000000001</v>
      </c>
      <c r="U249" s="254">
        <f t="shared" si="73"/>
        <v>1098.8999999999999</v>
      </c>
      <c r="V249" s="252">
        <f t="shared" si="74"/>
        <v>-271428.29999999923</v>
      </c>
      <c r="W249" s="255">
        <f t="shared" si="75"/>
        <v>-246.99999999999929</v>
      </c>
      <c r="X249" s="256" t="str">
        <f t="shared" si="79"/>
        <v/>
      </c>
      <c r="Y249" s="256" t="str">
        <f t="shared" si="80"/>
        <v/>
      </c>
      <c r="Z249" s="224" t="str">
        <f>IF(IFERROR(INDEX('tuot-rehukirjanpito'!I:I,MATCH(A249,'tuot-rehukirjanpito'!G:G,0)),)=0,"",INDEX('tuot-rehukirjanpito'!I:I,MATCH(A249,'tuot-rehukirjanpito'!G:G,0)))</f>
        <v/>
      </c>
      <c r="AA249" s="224">
        <f>SUMIFS('tuot-INFO'!$K$10:$K$115,'tuot-INFO'!$A$10:$A$115,'tuot-PVÄ'!B249)</f>
        <v>65</v>
      </c>
      <c r="AB249" s="224">
        <f>SUMIFS('rehu-vesi-INFO'!$R:$R,'rehu-vesi-INFO'!$A:$A,'tuot-PVÄ'!B249)</f>
        <v>1704</v>
      </c>
      <c r="AC249" s="224">
        <f>SUMIFS('rehu-vesi-INFO'!$S:$S,'rehu-vesi-INFO'!$A:$A,'tuot-PVÄ'!B249)</f>
        <v>1809</v>
      </c>
      <c r="AD249" s="224">
        <f t="shared" si="65"/>
        <v>105</v>
      </c>
      <c r="AE249" s="224">
        <f t="shared" si="66"/>
        <v>0</v>
      </c>
      <c r="AF249" s="224">
        <f t="shared" si="67"/>
        <v>170.4</v>
      </c>
      <c r="AG249" s="224">
        <f t="shared" si="68"/>
        <v>10.5</v>
      </c>
      <c r="AH249" s="257">
        <f t="shared" si="70"/>
        <v>0</v>
      </c>
      <c r="AI249" s="258">
        <f t="shared" si="71"/>
        <v>0</v>
      </c>
      <c r="AJ249" s="55">
        <f>SUMIFS('tuot-INFO'!W:W,'tuot-INFO'!$A:$A,'tuot-PVÄ'!B249)</f>
        <v>85.652999999999992</v>
      </c>
      <c r="AK249" s="55">
        <f>SUMIFS('tuot-INFO'!X:X,'tuot-INFO'!$A:$A,'tuot-PVÄ'!B249)</f>
        <v>9.210000000000008</v>
      </c>
    </row>
    <row r="250" spans="1:37" x14ac:dyDescent="0.25">
      <c r="A250" s="169">
        <f t="shared" si="69"/>
        <v>42736</v>
      </c>
      <c r="B250" s="23">
        <f>ROUNDUP((A250-Yleistiedot!$B$4)/7,0)</f>
        <v>53</v>
      </c>
      <c r="C250" s="16"/>
      <c r="D250" s="25"/>
      <c r="E250" s="25"/>
      <c r="F250" s="25"/>
      <c r="G250" s="25"/>
      <c r="H250" s="25"/>
      <c r="I250" s="65">
        <f t="shared" si="64"/>
        <v>0</v>
      </c>
      <c r="J250" s="26"/>
      <c r="K250" s="25"/>
      <c r="L250" s="16"/>
      <c r="M250" s="16"/>
      <c r="N250" s="25"/>
      <c r="O250" s="30"/>
      <c r="P250" s="252">
        <f t="shared" si="76"/>
        <v>9990</v>
      </c>
      <c r="Q250" s="253">
        <f t="shared" si="77"/>
        <v>0</v>
      </c>
      <c r="R250" s="253">
        <f t="shared" si="78"/>
        <v>0</v>
      </c>
      <c r="S250" s="251">
        <f>SUMIFS('tuot-rehukirjanpito'!D:D,'tuot-rehukirjanpito'!A:A,A250)</f>
        <v>0</v>
      </c>
      <c r="T250" s="254">
        <f t="shared" si="72"/>
        <v>1098.9000000000001</v>
      </c>
      <c r="U250" s="254">
        <f t="shared" si="73"/>
        <v>1098.8999999999999</v>
      </c>
      <c r="V250" s="252">
        <f t="shared" si="74"/>
        <v>-272527.19999999925</v>
      </c>
      <c r="W250" s="255">
        <f t="shared" si="75"/>
        <v>-247.99999999999929</v>
      </c>
      <c r="X250" s="256" t="str">
        <f t="shared" si="79"/>
        <v/>
      </c>
      <c r="Y250" s="256" t="str">
        <f t="shared" si="80"/>
        <v/>
      </c>
      <c r="Z250" s="224" t="str">
        <f>IF(IFERROR(INDEX('tuot-rehukirjanpito'!I:I,MATCH(A250,'tuot-rehukirjanpito'!G:G,0)),)=0,"",INDEX('tuot-rehukirjanpito'!I:I,MATCH(A250,'tuot-rehukirjanpito'!G:G,0)))</f>
        <v/>
      </c>
      <c r="AA250" s="224">
        <f>SUMIFS('tuot-INFO'!$K$10:$K$115,'tuot-INFO'!$A$10:$A$115,'tuot-PVÄ'!B250)</f>
        <v>65</v>
      </c>
      <c r="AB250" s="224">
        <f>SUMIFS('rehu-vesi-INFO'!$R:$R,'rehu-vesi-INFO'!$A:$A,'tuot-PVÄ'!B250)</f>
        <v>1704</v>
      </c>
      <c r="AC250" s="224">
        <f>SUMIFS('rehu-vesi-INFO'!$S:$S,'rehu-vesi-INFO'!$A:$A,'tuot-PVÄ'!B250)</f>
        <v>1809</v>
      </c>
      <c r="AD250" s="224">
        <f t="shared" si="65"/>
        <v>105</v>
      </c>
      <c r="AE250" s="224">
        <f t="shared" si="66"/>
        <v>0</v>
      </c>
      <c r="AF250" s="224">
        <f t="shared" si="67"/>
        <v>170.4</v>
      </c>
      <c r="AG250" s="224">
        <f t="shared" si="68"/>
        <v>10.5</v>
      </c>
      <c r="AH250" s="257">
        <f t="shared" si="70"/>
        <v>0</v>
      </c>
      <c r="AI250" s="258">
        <f t="shared" si="71"/>
        <v>0</v>
      </c>
      <c r="AJ250" s="55">
        <f>SUMIFS('tuot-INFO'!W:W,'tuot-INFO'!$A:$A,'tuot-PVÄ'!B250)</f>
        <v>85.652999999999992</v>
      </c>
      <c r="AK250" s="55">
        <f>SUMIFS('tuot-INFO'!X:X,'tuot-INFO'!$A:$A,'tuot-PVÄ'!B250)</f>
        <v>9.210000000000008</v>
      </c>
    </row>
    <row r="251" spans="1:37" x14ac:dyDescent="0.25">
      <c r="A251" s="169">
        <f t="shared" si="69"/>
        <v>42737</v>
      </c>
      <c r="B251" s="23">
        <f>ROUNDUP((A251-Yleistiedot!$B$4)/7,0)</f>
        <v>53</v>
      </c>
      <c r="C251" s="16"/>
      <c r="D251" s="25"/>
      <c r="E251" s="25"/>
      <c r="F251" s="25"/>
      <c r="G251" s="25"/>
      <c r="H251" s="25"/>
      <c r="I251" s="65">
        <f t="shared" si="64"/>
        <v>0</v>
      </c>
      <c r="J251" s="26"/>
      <c r="K251" s="25"/>
      <c r="L251" s="16"/>
      <c r="M251" s="16"/>
      <c r="N251" s="25"/>
      <c r="O251" s="30"/>
      <c r="P251" s="252">
        <f t="shared" si="76"/>
        <v>9990</v>
      </c>
      <c r="Q251" s="253">
        <f t="shared" si="77"/>
        <v>0</v>
      </c>
      <c r="R251" s="253">
        <f t="shared" si="78"/>
        <v>0</v>
      </c>
      <c r="S251" s="251">
        <f>SUMIFS('tuot-rehukirjanpito'!D:D,'tuot-rehukirjanpito'!A:A,A251)</f>
        <v>0</v>
      </c>
      <c r="T251" s="254">
        <f t="shared" si="72"/>
        <v>1098.9000000000001</v>
      </c>
      <c r="U251" s="254">
        <f t="shared" si="73"/>
        <v>1098.8999999999999</v>
      </c>
      <c r="V251" s="252">
        <f t="shared" si="74"/>
        <v>-273626.09999999928</v>
      </c>
      <c r="W251" s="255">
        <f t="shared" si="75"/>
        <v>-248.99999999999932</v>
      </c>
      <c r="X251" s="256" t="str">
        <f t="shared" si="79"/>
        <v/>
      </c>
      <c r="Y251" s="256" t="str">
        <f t="shared" si="80"/>
        <v/>
      </c>
      <c r="Z251" s="224" t="str">
        <f>IF(IFERROR(INDEX('tuot-rehukirjanpito'!I:I,MATCH(A251,'tuot-rehukirjanpito'!G:G,0)),)=0,"",INDEX('tuot-rehukirjanpito'!I:I,MATCH(A251,'tuot-rehukirjanpito'!G:G,0)))</f>
        <v/>
      </c>
      <c r="AA251" s="224">
        <f>SUMIFS('tuot-INFO'!$K$10:$K$115,'tuot-INFO'!$A$10:$A$115,'tuot-PVÄ'!B251)</f>
        <v>65</v>
      </c>
      <c r="AB251" s="224">
        <f>SUMIFS('rehu-vesi-INFO'!$R:$R,'rehu-vesi-INFO'!$A:$A,'tuot-PVÄ'!B251)</f>
        <v>1704</v>
      </c>
      <c r="AC251" s="224">
        <f>SUMIFS('rehu-vesi-INFO'!$S:$S,'rehu-vesi-INFO'!$A:$A,'tuot-PVÄ'!B251)</f>
        <v>1809</v>
      </c>
      <c r="AD251" s="224">
        <f t="shared" si="65"/>
        <v>105</v>
      </c>
      <c r="AE251" s="224">
        <f t="shared" si="66"/>
        <v>0</v>
      </c>
      <c r="AF251" s="224">
        <f t="shared" si="67"/>
        <v>170.4</v>
      </c>
      <c r="AG251" s="224">
        <f t="shared" si="68"/>
        <v>10.5</v>
      </c>
      <c r="AH251" s="257">
        <f t="shared" si="70"/>
        <v>0</v>
      </c>
      <c r="AI251" s="258">
        <f t="shared" si="71"/>
        <v>0</v>
      </c>
      <c r="AJ251" s="55">
        <f>SUMIFS('tuot-INFO'!W:W,'tuot-INFO'!$A:$A,'tuot-PVÄ'!B251)</f>
        <v>85.652999999999992</v>
      </c>
      <c r="AK251" s="55">
        <f>SUMIFS('tuot-INFO'!X:X,'tuot-INFO'!$A:$A,'tuot-PVÄ'!B251)</f>
        <v>9.210000000000008</v>
      </c>
    </row>
    <row r="252" spans="1:37" x14ac:dyDescent="0.25">
      <c r="A252" s="169">
        <f t="shared" si="69"/>
        <v>42738</v>
      </c>
      <c r="B252" s="23">
        <f>ROUNDUP((A252-Yleistiedot!$B$4)/7,0)</f>
        <v>53</v>
      </c>
      <c r="C252" s="16"/>
      <c r="D252" s="25"/>
      <c r="E252" s="25"/>
      <c r="F252" s="25"/>
      <c r="G252" s="25"/>
      <c r="H252" s="25"/>
      <c r="I252" s="65">
        <f t="shared" si="64"/>
        <v>0</v>
      </c>
      <c r="J252" s="26"/>
      <c r="K252" s="25"/>
      <c r="L252" s="16"/>
      <c r="M252" s="16"/>
      <c r="N252" s="25"/>
      <c r="O252" s="30"/>
      <c r="P252" s="252">
        <f t="shared" si="76"/>
        <v>9990</v>
      </c>
      <c r="Q252" s="253">
        <f t="shared" si="77"/>
        <v>0</v>
      </c>
      <c r="R252" s="253">
        <f t="shared" si="78"/>
        <v>0</v>
      </c>
      <c r="S252" s="251">
        <f>SUMIFS('tuot-rehukirjanpito'!D:D,'tuot-rehukirjanpito'!A:A,A252)</f>
        <v>0</v>
      </c>
      <c r="T252" s="254">
        <f t="shared" si="72"/>
        <v>1098.9000000000001</v>
      </c>
      <c r="U252" s="254">
        <f t="shared" si="73"/>
        <v>1098.8999999999999</v>
      </c>
      <c r="V252" s="252">
        <f t="shared" si="74"/>
        <v>-274724.9999999993</v>
      </c>
      <c r="W252" s="255">
        <f t="shared" si="75"/>
        <v>-249.99999999999935</v>
      </c>
      <c r="X252" s="256" t="str">
        <f t="shared" si="79"/>
        <v/>
      </c>
      <c r="Y252" s="256" t="str">
        <f t="shared" si="80"/>
        <v/>
      </c>
      <c r="Z252" s="224" t="str">
        <f>IF(IFERROR(INDEX('tuot-rehukirjanpito'!I:I,MATCH(A252,'tuot-rehukirjanpito'!G:G,0)),)=0,"",INDEX('tuot-rehukirjanpito'!I:I,MATCH(A252,'tuot-rehukirjanpito'!G:G,0)))</f>
        <v/>
      </c>
      <c r="AA252" s="224">
        <f>SUMIFS('tuot-INFO'!$K$10:$K$115,'tuot-INFO'!$A$10:$A$115,'tuot-PVÄ'!B252)</f>
        <v>65</v>
      </c>
      <c r="AB252" s="224">
        <f>SUMIFS('rehu-vesi-INFO'!$R:$R,'rehu-vesi-INFO'!$A:$A,'tuot-PVÄ'!B252)</f>
        <v>1704</v>
      </c>
      <c r="AC252" s="224">
        <f>SUMIFS('rehu-vesi-INFO'!$S:$S,'rehu-vesi-INFO'!$A:$A,'tuot-PVÄ'!B252)</f>
        <v>1809</v>
      </c>
      <c r="AD252" s="224">
        <f t="shared" si="65"/>
        <v>105</v>
      </c>
      <c r="AE252" s="224">
        <f t="shared" si="66"/>
        <v>0</v>
      </c>
      <c r="AF252" s="224">
        <f t="shared" si="67"/>
        <v>170.4</v>
      </c>
      <c r="AG252" s="224">
        <f t="shared" si="68"/>
        <v>10.5</v>
      </c>
      <c r="AH252" s="257">
        <f t="shared" si="70"/>
        <v>0</v>
      </c>
      <c r="AI252" s="258">
        <f t="shared" si="71"/>
        <v>0</v>
      </c>
      <c r="AJ252" s="55">
        <f>SUMIFS('tuot-INFO'!W:W,'tuot-INFO'!$A:$A,'tuot-PVÄ'!B252)</f>
        <v>85.652999999999992</v>
      </c>
      <c r="AK252" s="55">
        <f>SUMIFS('tuot-INFO'!X:X,'tuot-INFO'!$A:$A,'tuot-PVÄ'!B252)</f>
        <v>9.210000000000008</v>
      </c>
    </row>
    <row r="253" spans="1:37" x14ac:dyDescent="0.25">
      <c r="A253" s="169">
        <f t="shared" si="69"/>
        <v>42739</v>
      </c>
      <c r="B253" s="23">
        <f>ROUNDUP((A253-Yleistiedot!$B$4)/7,0)</f>
        <v>53</v>
      </c>
      <c r="C253" s="16"/>
      <c r="D253" s="25"/>
      <c r="E253" s="25"/>
      <c r="F253" s="25"/>
      <c r="G253" s="25"/>
      <c r="H253" s="25"/>
      <c r="I253" s="65">
        <f t="shared" si="64"/>
        <v>0</v>
      </c>
      <c r="J253" s="26"/>
      <c r="K253" s="25"/>
      <c r="L253" s="16"/>
      <c r="M253" s="16"/>
      <c r="N253" s="25"/>
      <c r="O253" s="30"/>
      <c r="P253" s="252">
        <f t="shared" si="76"/>
        <v>9990</v>
      </c>
      <c r="Q253" s="253">
        <f t="shared" si="77"/>
        <v>0</v>
      </c>
      <c r="R253" s="253">
        <f t="shared" si="78"/>
        <v>0</v>
      </c>
      <c r="S253" s="251">
        <f>SUMIFS('tuot-rehukirjanpito'!D:D,'tuot-rehukirjanpito'!A:A,A253)</f>
        <v>0</v>
      </c>
      <c r="T253" s="254">
        <f t="shared" si="72"/>
        <v>1098.9000000000001</v>
      </c>
      <c r="U253" s="254">
        <f t="shared" si="73"/>
        <v>1098.8999999999999</v>
      </c>
      <c r="V253" s="252">
        <f t="shared" si="74"/>
        <v>-275823.89999999932</v>
      </c>
      <c r="W253" s="255">
        <f t="shared" si="75"/>
        <v>-250.99999999999937</v>
      </c>
      <c r="X253" s="256" t="str">
        <f t="shared" si="79"/>
        <v/>
      </c>
      <c r="Y253" s="256" t="str">
        <f t="shared" si="80"/>
        <v/>
      </c>
      <c r="Z253" s="224" t="str">
        <f>IF(IFERROR(INDEX('tuot-rehukirjanpito'!I:I,MATCH(A253,'tuot-rehukirjanpito'!G:G,0)),)=0,"",INDEX('tuot-rehukirjanpito'!I:I,MATCH(A253,'tuot-rehukirjanpito'!G:G,0)))</f>
        <v/>
      </c>
      <c r="AA253" s="224">
        <f>SUMIFS('tuot-INFO'!$K$10:$K$115,'tuot-INFO'!$A$10:$A$115,'tuot-PVÄ'!B253)</f>
        <v>65</v>
      </c>
      <c r="AB253" s="224">
        <f>SUMIFS('rehu-vesi-INFO'!$R:$R,'rehu-vesi-INFO'!$A:$A,'tuot-PVÄ'!B253)</f>
        <v>1704</v>
      </c>
      <c r="AC253" s="224">
        <f>SUMIFS('rehu-vesi-INFO'!$S:$S,'rehu-vesi-INFO'!$A:$A,'tuot-PVÄ'!B253)</f>
        <v>1809</v>
      </c>
      <c r="AD253" s="224">
        <f t="shared" si="65"/>
        <v>105</v>
      </c>
      <c r="AE253" s="224">
        <f t="shared" si="66"/>
        <v>0</v>
      </c>
      <c r="AF253" s="224">
        <f t="shared" si="67"/>
        <v>170.4</v>
      </c>
      <c r="AG253" s="224">
        <f t="shared" si="68"/>
        <v>10.5</v>
      </c>
      <c r="AH253" s="257">
        <f t="shared" si="70"/>
        <v>0</v>
      </c>
      <c r="AI253" s="258">
        <f t="shared" si="71"/>
        <v>0</v>
      </c>
      <c r="AJ253" s="55">
        <f>SUMIFS('tuot-INFO'!W:W,'tuot-INFO'!$A:$A,'tuot-PVÄ'!B253)</f>
        <v>85.652999999999992</v>
      </c>
      <c r="AK253" s="55">
        <f>SUMIFS('tuot-INFO'!X:X,'tuot-INFO'!$A:$A,'tuot-PVÄ'!B253)</f>
        <v>9.210000000000008</v>
      </c>
    </row>
    <row r="254" spans="1:37" x14ac:dyDescent="0.25">
      <c r="A254" s="169">
        <f t="shared" si="69"/>
        <v>42740</v>
      </c>
      <c r="B254" s="23">
        <f>ROUNDUP((A254-Yleistiedot!$B$4)/7,0)</f>
        <v>53</v>
      </c>
      <c r="C254" s="16"/>
      <c r="D254" s="25"/>
      <c r="E254" s="25"/>
      <c r="F254" s="25"/>
      <c r="G254" s="25"/>
      <c r="H254" s="25"/>
      <c r="I254" s="65">
        <f t="shared" si="64"/>
        <v>0</v>
      </c>
      <c r="J254" s="26"/>
      <c r="K254" s="25"/>
      <c r="L254" s="16"/>
      <c r="M254" s="16"/>
      <c r="N254" s="25"/>
      <c r="O254" s="30"/>
      <c r="P254" s="252">
        <f t="shared" si="76"/>
        <v>9990</v>
      </c>
      <c r="Q254" s="253">
        <f t="shared" si="77"/>
        <v>0</v>
      </c>
      <c r="R254" s="253">
        <f t="shared" si="78"/>
        <v>0</v>
      </c>
      <c r="S254" s="251">
        <f>SUMIFS('tuot-rehukirjanpito'!D:D,'tuot-rehukirjanpito'!A:A,A254)</f>
        <v>0</v>
      </c>
      <c r="T254" s="254">
        <f t="shared" si="72"/>
        <v>1098.9000000000001</v>
      </c>
      <c r="U254" s="254">
        <f t="shared" si="73"/>
        <v>1098.8999999999999</v>
      </c>
      <c r="V254" s="252">
        <f t="shared" si="74"/>
        <v>-276922.79999999935</v>
      </c>
      <c r="W254" s="255">
        <f t="shared" si="75"/>
        <v>-251.99999999999937</v>
      </c>
      <c r="X254" s="256" t="str">
        <f t="shared" si="79"/>
        <v/>
      </c>
      <c r="Y254" s="256" t="str">
        <f t="shared" si="80"/>
        <v/>
      </c>
      <c r="Z254" s="224" t="str">
        <f>IF(IFERROR(INDEX('tuot-rehukirjanpito'!I:I,MATCH(A254,'tuot-rehukirjanpito'!G:G,0)),)=0,"",INDEX('tuot-rehukirjanpito'!I:I,MATCH(A254,'tuot-rehukirjanpito'!G:G,0)))</f>
        <v/>
      </c>
      <c r="AA254" s="224">
        <f>SUMIFS('tuot-INFO'!$K$10:$K$115,'tuot-INFO'!$A$10:$A$115,'tuot-PVÄ'!B254)</f>
        <v>65</v>
      </c>
      <c r="AB254" s="224">
        <f>SUMIFS('rehu-vesi-INFO'!$R:$R,'rehu-vesi-INFO'!$A:$A,'tuot-PVÄ'!B254)</f>
        <v>1704</v>
      </c>
      <c r="AC254" s="224">
        <f>SUMIFS('rehu-vesi-INFO'!$S:$S,'rehu-vesi-INFO'!$A:$A,'tuot-PVÄ'!B254)</f>
        <v>1809</v>
      </c>
      <c r="AD254" s="224">
        <f t="shared" si="65"/>
        <v>105</v>
      </c>
      <c r="AE254" s="224">
        <f t="shared" si="66"/>
        <v>0</v>
      </c>
      <c r="AF254" s="224">
        <f t="shared" si="67"/>
        <v>170.4</v>
      </c>
      <c r="AG254" s="224">
        <f t="shared" si="68"/>
        <v>10.5</v>
      </c>
      <c r="AH254" s="257">
        <f t="shared" si="70"/>
        <v>0</v>
      </c>
      <c r="AI254" s="258">
        <f t="shared" si="71"/>
        <v>0</v>
      </c>
      <c r="AJ254" s="55">
        <f>SUMIFS('tuot-INFO'!W:W,'tuot-INFO'!$A:$A,'tuot-PVÄ'!B254)</f>
        <v>85.652999999999992</v>
      </c>
      <c r="AK254" s="55">
        <f>SUMIFS('tuot-INFO'!X:X,'tuot-INFO'!$A:$A,'tuot-PVÄ'!B254)</f>
        <v>9.210000000000008</v>
      </c>
    </row>
    <row r="255" spans="1:37" x14ac:dyDescent="0.25">
      <c r="A255" s="169">
        <f t="shared" si="69"/>
        <v>42741</v>
      </c>
      <c r="B255" s="23">
        <f>ROUNDUP((A255-Yleistiedot!$B$4)/7,0)</f>
        <v>53</v>
      </c>
      <c r="C255" s="16"/>
      <c r="D255" s="25"/>
      <c r="E255" s="25"/>
      <c r="F255" s="25"/>
      <c r="G255" s="25"/>
      <c r="H255" s="25"/>
      <c r="I255" s="65">
        <f t="shared" si="64"/>
        <v>0</v>
      </c>
      <c r="J255" s="26"/>
      <c r="K255" s="25"/>
      <c r="L255" s="16"/>
      <c r="M255" s="16"/>
      <c r="N255" s="25"/>
      <c r="O255" s="30"/>
      <c r="P255" s="252">
        <f t="shared" si="76"/>
        <v>9990</v>
      </c>
      <c r="Q255" s="253">
        <f t="shared" si="77"/>
        <v>0</v>
      </c>
      <c r="R255" s="253">
        <f t="shared" si="78"/>
        <v>0</v>
      </c>
      <c r="S255" s="251">
        <f>SUMIFS('tuot-rehukirjanpito'!D:D,'tuot-rehukirjanpito'!A:A,A255)</f>
        <v>0</v>
      </c>
      <c r="T255" s="254">
        <f t="shared" si="72"/>
        <v>1098.9000000000001</v>
      </c>
      <c r="U255" s="254">
        <f t="shared" si="73"/>
        <v>1098.8999999999999</v>
      </c>
      <c r="V255" s="252">
        <f t="shared" si="74"/>
        <v>-278021.69999999937</v>
      </c>
      <c r="W255" s="255">
        <f t="shared" si="75"/>
        <v>-252.9999999999994</v>
      </c>
      <c r="X255" s="256" t="str">
        <f t="shared" si="79"/>
        <v/>
      </c>
      <c r="Y255" s="256" t="str">
        <f t="shared" si="80"/>
        <v/>
      </c>
      <c r="Z255" s="224" t="str">
        <f>IF(IFERROR(INDEX('tuot-rehukirjanpito'!I:I,MATCH(A255,'tuot-rehukirjanpito'!G:G,0)),)=0,"",INDEX('tuot-rehukirjanpito'!I:I,MATCH(A255,'tuot-rehukirjanpito'!G:G,0)))</f>
        <v/>
      </c>
      <c r="AA255" s="224">
        <f>SUMIFS('tuot-INFO'!$K$10:$K$115,'tuot-INFO'!$A$10:$A$115,'tuot-PVÄ'!B255)</f>
        <v>65</v>
      </c>
      <c r="AB255" s="224">
        <f>SUMIFS('rehu-vesi-INFO'!$R:$R,'rehu-vesi-INFO'!$A:$A,'tuot-PVÄ'!B255)</f>
        <v>1704</v>
      </c>
      <c r="AC255" s="224">
        <f>SUMIFS('rehu-vesi-INFO'!$S:$S,'rehu-vesi-INFO'!$A:$A,'tuot-PVÄ'!B255)</f>
        <v>1809</v>
      </c>
      <c r="AD255" s="224">
        <f t="shared" si="65"/>
        <v>105</v>
      </c>
      <c r="AE255" s="224">
        <f t="shared" si="66"/>
        <v>0</v>
      </c>
      <c r="AF255" s="224">
        <f t="shared" si="67"/>
        <v>170.4</v>
      </c>
      <c r="AG255" s="224">
        <f t="shared" si="68"/>
        <v>10.5</v>
      </c>
      <c r="AH255" s="257">
        <f t="shared" si="70"/>
        <v>0</v>
      </c>
      <c r="AI255" s="258">
        <f t="shared" si="71"/>
        <v>0</v>
      </c>
      <c r="AJ255" s="55">
        <f>SUMIFS('tuot-INFO'!W:W,'tuot-INFO'!$A:$A,'tuot-PVÄ'!B255)</f>
        <v>85.652999999999992</v>
      </c>
      <c r="AK255" s="55">
        <f>SUMIFS('tuot-INFO'!X:X,'tuot-INFO'!$A:$A,'tuot-PVÄ'!B255)</f>
        <v>9.210000000000008</v>
      </c>
    </row>
    <row r="256" spans="1:37" x14ac:dyDescent="0.25">
      <c r="A256" s="169">
        <f t="shared" si="69"/>
        <v>42742</v>
      </c>
      <c r="B256" s="23">
        <f>ROUNDUP((A256-Yleistiedot!$B$4)/7,0)</f>
        <v>54</v>
      </c>
      <c r="C256" s="16"/>
      <c r="D256" s="25"/>
      <c r="E256" s="25"/>
      <c r="F256" s="25"/>
      <c r="G256" s="25"/>
      <c r="H256" s="25"/>
      <c r="I256" s="65">
        <f t="shared" si="64"/>
        <v>0</v>
      </c>
      <c r="J256" s="26"/>
      <c r="K256" s="25"/>
      <c r="L256" s="16"/>
      <c r="M256" s="16"/>
      <c r="N256" s="25"/>
      <c r="O256" s="30"/>
      <c r="P256" s="252">
        <f t="shared" si="76"/>
        <v>9990</v>
      </c>
      <c r="Q256" s="253">
        <f t="shared" si="77"/>
        <v>0</v>
      </c>
      <c r="R256" s="253">
        <f t="shared" si="78"/>
        <v>0</v>
      </c>
      <c r="S256" s="251">
        <f>SUMIFS('tuot-rehukirjanpito'!D:D,'tuot-rehukirjanpito'!A:A,A256)</f>
        <v>0</v>
      </c>
      <c r="T256" s="254">
        <f t="shared" si="72"/>
        <v>1098.9000000000001</v>
      </c>
      <c r="U256" s="254">
        <f t="shared" si="73"/>
        <v>1098.8999999999999</v>
      </c>
      <c r="V256" s="252">
        <f t="shared" si="74"/>
        <v>-279120.59999999939</v>
      </c>
      <c r="W256" s="255">
        <f t="shared" si="75"/>
        <v>-253.99999999999943</v>
      </c>
      <c r="X256" s="256" t="str">
        <f t="shared" si="79"/>
        <v/>
      </c>
      <c r="Y256" s="256" t="str">
        <f t="shared" si="80"/>
        <v/>
      </c>
      <c r="Z256" s="224" t="str">
        <f>IF(IFERROR(INDEX('tuot-rehukirjanpito'!I:I,MATCH(A256,'tuot-rehukirjanpito'!G:G,0)),)=0,"",INDEX('tuot-rehukirjanpito'!I:I,MATCH(A256,'tuot-rehukirjanpito'!G:G,0)))</f>
        <v/>
      </c>
      <c r="AA256" s="224">
        <f>SUMIFS('tuot-INFO'!$K$10:$K$115,'tuot-INFO'!$A$10:$A$115,'tuot-PVÄ'!B256)</f>
        <v>65.099999999999994</v>
      </c>
      <c r="AB256" s="224">
        <f>SUMIFS('rehu-vesi-INFO'!$R:$R,'rehu-vesi-INFO'!$A:$A,'tuot-PVÄ'!B256)</f>
        <v>1705</v>
      </c>
      <c r="AC256" s="224">
        <f>SUMIFS('rehu-vesi-INFO'!$S:$S,'rehu-vesi-INFO'!$A:$A,'tuot-PVÄ'!B256)</f>
        <v>1810</v>
      </c>
      <c r="AD256" s="224">
        <f t="shared" si="65"/>
        <v>105</v>
      </c>
      <c r="AE256" s="224">
        <f t="shared" si="66"/>
        <v>0</v>
      </c>
      <c r="AF256" s="224">
        <f t="shared" si="67"/>
        <v>170.5</v>
      </c>
      <c r="AG256" s="224">
        <f t="shared" si="68"/>
        <v>10.5</v>
      </c>
      <c r="AH256" s="257">
        <f t="shared" si="70"/>
        <v>0</v>
      </c>
      <c r="AI256" s="258">
        <f t="shared" si="71"/>
        <v>0</v>
      </c>
      <c r="AJ256" s="55">
        <f>SUMIFS('tuot-INFO'!W:W,'tuot-INFO'!$A:$A,'tuot-PVÄ'!B256)</f>
        <v>85.373999999999995</v>
      </c>
      <c r="AK256" s="55">
        <f>SUMIFS('tuot-INFO'!X:X,'tuot-INFO'!$A:$A,'tuot-PVÄ'!B256)</f>
        <v>9.1800000000000068</v>
      </c>
    </row>
    <row r="257" spans="1:37" x14ac:dyDescent="0.25">
      <c r="A257" s="169">
        <f t="shared" si="69"/>
        <v>42743</v>
      </c>
      <c r="B257" s="23">
        <f>ROUNDUP((A257-Yleistiedot!$B$4)/7,0)</f>
        <v>54</v>
      </c>
      <c r="C257" s="16"/>
      <c r="D257" s="25"/>
      <c r="E257" s="25"/>
      <c r="F257" s="25"/>
      <c r="G257" s="25"/>
      <c r="H257" s="25"/>
      <c r="I257" s="65">
        <f t="shared" si="64"/>
        <v>0</v>
      </c>
      <c r="J257" s="26"/>
      <c r="K257" s="25"/>
      <c r="L257" s="16"/>
      <c r="M257" s="16"/>
      <c r="N257" s="25"/>
      <c r="O257" s="30"/>
      <c r="P257" s="252">
        <f t="shared" si="76"/>
        <v>9990</v>
      </c>
      <c r="Q257" s="253">
        <f t="shared" si="77"/>
        <v>0</v>
      </c>
      <c r="R257" s="253">
        <f t="shared" si="78"/>
        <v>0</v>
      </c>
      <c r="S257" s="251">
        <f>SUMIFS('tuot-rehukirjanpito'!D:D,'tuot-rehukirjanpito'!A:A,A257)</f>
        <v>0</v>
      </c>
      <c r="T257" s="254">
        <f t="shared" si="72"/>
        <v>1098.9000000000001</v>
      </c>
      <c r="U257" s="254">
        <f t="shared" si="73"/>
        <v>1098.8999999999999</v>
      </c>
      <c r="V257" s="252">
        <f t="shared" si="74"/>
        <v>-280219.49999999942</v>
      </c>
      <c r="W257" s="255">
        <f t="shared" si="75"/>
        <v>-254.99999999999946</v>
      </c>
      <c r="X257" s="256" t="str">
        <f t="shared" si="79"/>
        <v/>
      </c>
      <c r="Y257" s="256" t="str">
        <f t="shared" si="80"/>
        <v/>
      </c>
      <c r="Z257" s="224" t="str">
        <f>IF(IFERROR(INDEX('tuot-rehukirjanpito'!I:I,MATCH(A257,'tuot-rehukirjanpito'!G:G,0)),)=0,"",INDEX('tuot-rehukirjanpito'!I:I,MATCH(A257,'tuot-rehukirjanpito'!G:G,0)))</f>
        <v/>
      </c>
      <c r="AA257" s="224">
        <f>SUMIFS('tuot-INFO'!$K$10:$K$115,'tuot-INFO'!$A$10:$A$115,'tuot-PVÄ'!B257)</f>
        <v>65.099999999999994</v>
      </c>
      <c r="AB257" s="224">
        <f>SUMIFS('rehu-vesi-INFO'!$R:$R,'rehu-vesi-INFO'!$A:$A,'tuot-PVÄ'!B257)</f>
        <v>1705</v>
      </c>
      <c r="AC257" s="224">
        <f>SUMIFS('rehu-vesi-INFO'!$S:$S,'rehu-vesi-INFO'!$A:$A,'tuot-PVÄ'!B257)</f>
        <v>1810</v>
      </c>
      <c r="AD257" s="224">
        <f t="shared" si="65"/>
        <v>105</v>
      </c>
      <c r="AE257" s="224">
        <f t="shared" si="66"/>
        <v>0</v>
      </c>
      <c r="AF257" s="224">
        <f t="shared" si="67"/>
        <v>170.5</v>
      </c>
      <c r="AG257" s="224">
        <f t="shared" si="68"/>
        <v>10.5</v>
      </c>
      <c r="AH257" s="257">
        <f t="shared" si="70"/>
        <v>0</v>
      </c>
      <c r="AI257" s="258">
        <f t="shared" si="71"/>
        <v>0</v>
      </c>
      <c r="AJ257" s="55">
        <f>SUMIFS('tuot-INFO'!W:W,'tuot-INFO'!$A:$A,'tuot-PVÄ'!B257)</f>
        <v>85.373999999999995</v>
      </c>
      <c r="AK257" s="55">
        <f>SUMIFS('tuot-INFO'!X:X,'tuot-INFO'!$A:$A,'tuot-PVÄ'!B257)</f>
        <v>9.1800000000000068</v>
      </c>
    </row>
    <row r="258" spans="1:37" x14ac:dyDescent="0.25">
      <c r="A258" s="169">
        <f t="shared" si="69"/>
        <v>42744</v>
      </c>
      <c r="B258" s="23">
        <f>ROUNDUP((A258-Yleistiedot!$B$4)/7,0)</f>
        <v>54</v>
      </c>
      <c r="C258" s="16"/>
      <c r="D258" s="25"/>
      <c r="E258" s="25"/>
      <c r="F258" s="25"/>
      <c r="G258" s="25"/>
      <c r="H258" s="25"/>
      <c r="I258" s="65">
        <f t="shared" si="64"/>
        <v>0</v>
      </c>
      <c r="J258" s="26"/>
      <c r="K258" s="25"/>
      <c r="L258" s="16"/>
      <c r="M258" s="16"/>
      <c r="N258" s="25"/>
      <c r="O258" s="30"/>
      <c r="P258" s="252">
        <f t="shared" si="76"/>
        <v>9990</v>
      </c>
      <c r="Q258" s="253">
        <f t="shared" si="77"/>
        <v>0</v>
      </c>
      <c r="R258" s="253">
        <f t="shared" si="78"/>
        <v>0</v>
      </c>
      <c r="S258" s="251">
        <f>SUMIFS('tuot-rehukirjanpito'!D:D,'tuot-rehukirjanpito'!A:A,A258)</f>
        <v>0</v>
      </c>
      <c r="T258" s="254">
        <f t="shared" si="72"/>
        <v>1098.9000000000001</v>
      </c>
      <c r="U258" s="254">
        <f t="shared" si="73"/>
        <v>1098.8999999999999</v>
      </c>
      <c r="V258" s="252">
        <f t="shared" si="74"/>
        <v>-281318.39999999944</v>
      </c>
      <c r="W258" s="255">
        <f t="shared" si="75"/>
        <v>-255.99999999999946</v>
      </c>
      <c r="X258" s="256" t="str">
        <f t="shared" si="79"/>
        <v/>
      </c>
      <c r="Y258" s="256" t="str">
        <f t="shared" si="80"/>
        <v/>
      </c>
      <c r="Z258" s="224" t="str">
        <f>IF(IFERROR(INDEX('tuot-rehukirjanpito'!I:I,MATCH(A258,'tuot-rehukirjanpito'!G:G,0)),)=0,"",INDEX('tuot-rehukirjanpito'!I:I,MATCH(A258,'tuot-rehukirjanpito'!G:G,0)))</f>
        <v/>
      </c>
      <c r="AA258" s="224">
        <f>SUMIFS('tuot-INFO'!$K$10:$K$115,'tuot-INFO'!$A$10:$A$115,'tuot-PVÄ'!B258)</f>
        <v>65.099999999999994</v>
      </c>
      <c r="AB258" s="224">
        <f>SUMIFS('rehu-vesi-INFO'!$R:$R,'rehu-vesi-INFO'!$A:$A,'tuot-PVÄ'!B258)</f>
        <v>1705</v>
      </c>
      <c r="AC258" s="224">
        <f>SUMIFS('rehu-vesi-INFO'!$S:$S,'rehu-vesi-INFO'!$A:$A,'tuot-PVÄ'!B258)</f>
        <v>1810</v>
      </c>
      <c r="AD258" s="224">
        <f t="shared" si="65"/>
        <v>105</v>
      </c>
      <c r="AE258" s="224">
        <f t="shared" si="66"/>
        <v>0</v>
      </c>
      <c r="AF258" s="224">
        <f t="shared" si="67"/>
        <v>170.5</v>
      </c>
      <c r="AG258" s="224">
        <f t="shared" si="68"/>
        <v>10.5</v>
      </c>
      <c r="AH258" s="257">
        <f t="shared" si="70"/>
        <v>0</v>
      </c>
      <c r="AI258" s="258">
        <f t="shared" si="71"/>
        <v>0</v>
      </c>
      <c r="AJ258" s="55">
        <f>SUMIFS('tuot-INFO'!W:W,'tuot-INFO'!$A:$A,'tuot-PVÄ'!B258)</f>
        <v>85.373999999999995</v>
      </c>
      <c r="AK258" s="55">
        <f>SUMIFS('tuot-INFO'!X:X,'tuot-INFO'!$A:$A,'tuot-PVÄ'!B258)</f>
        <v>9.1800000000000068</v>
      </c>
    </row>
    <row r="259" spans="1:37" x14ac:dyDescent="0.25">
      <c r="A259" s="169">
        <f t="shared" si="69"/>
        <v>42745</v>
      </c>
      <c r="B259" s="23">
        <f>ROUNDUP((A259-Yleistiedot!$B$4)/7,0)</f>
        <v>54</v>
      </c>
      <c r="C259" s="16"/>
      <c r="D259" s="25"/>
      <c r="E259" s="25"/>
      <c r="F259" s="25"/>
      <c r="G259" s="25"/>
      <c r="H259" s="25"/>
      <c r="I259" s="65">
        <f t="shared" si="64"/>
        <v>0</v>
      </c>
      <c r="J259" s="26"/>
      <c r="K259" s="25"/>
      <c r="L259" s="16"/>
      <c r="M259" s="16"/>
      <c r="N259" s="25"/>
      <c r="O259" s="30"/>
      <c r="P259" s="252">
        <f t="shared" si="76"/>
        <v>9990</v>
      </c>
      <c r="Q259" s="253">
        <f t="shared" si="77"/>
        <v>0</v>
      </c>
      <c r="R259" s="253">
        <f t="shared" si="78"/>
        <v>0</v>
      </c>
      <c r="S259" s="251">
        <f>SUMIFS('tuot-rehukirjanpito'!D:D,'tuot-rehukirjanpito'!A:A,A259)</f>
        <v>0</v>
      </c>
      <c r="T259" s="254">
        <f t="shared" si="72"/>
        <v>1098.9000000000001</v>
      </c>
      <c r="U259" s="254">
        <f t="shared" si="73"/>
        <v>1098.8999999999999</v>
      </c>
      <c r="V259" s="252">
        <f t="shared" si="74"/>
        <v>-282417.29999999946</v>
      </c>
      <c r="W259" s="255">
        <f t="shared" si="75"/>
        <v>-256.99999999999949</v>
      </c>
      <c r="X259" s="256" t="str">
        <f t="shared" si="79"/>
        <v/>
      </c>
      <c r="Y259" s="256" t="str">
        <f t="shared" si="80"/>
        <v/>
      </c>
      <c r="Z259" s="224" t="str">
        <f>IF(IFERROR(INDEX('tuot-rehukirjanpito'!I:I,MATCH(A259,'tuot-rehukirjanpito'!G:G,0)),)=0,"",INDEX('tuot-rehukirjanpito'!I:I,MATCH(A259,'tuot-rehukirjanpito'!G:G,0)))</f>
        <v/>
      </c>
      <c r="AA259" s="224">
        <f>SUMIFS('tuot-INFO'!$K$10:$K$115,'tuot-INFO'!$A$10:$A$115,'tuot-PVÄ'!B259)</f>
        <v>65.099999999999994</v>
      </c>
      <c r="AB259" s="224">
        <f>SUMIFS('rehu-vesi-INFO'!$R:$R,'rehu-vesi-INFO'!$A:$A,'tuot-PVÄ'!B259)</f>
        <v>1705</v>
      </c>
      <c r="AC259" s="224">
        <f>SUMIFS('rehu-vesi-INFO'!$S:$S,'rehu-vesi-INFO'!$A:$A,'tuot-PVÄ'!B259)</f>
        <v>1810</v>
      </c>
      <c r="AD259" s="224">
        <f t="shared" si="65"/>
        <v>105</v>
      </c>
      <c r="AE259" s="224">
        <f t="shared" si="66"/>
        <v>0</v>
      </c>
      <c r="AF259" s="224">
        <f t="shared" si="67"/>
        <v>170.5</v>
      </c>
      <c r="AG259" s="224">
        <f t="shared" si="68"/>
        <v>10.5</v>
      </c>
      <c r="AH259" s="257">
        <f t="shared" si="70"/>
        <v>0</v>
      </c>
      <c r="AI259" s="258">
        <f t="shared" si="71"/>
        <v>0</v>
      </c>
      <c r="AJ259" s="55">
        <f>SUMIFS('tuot-INFO'!W:W,'tuot-INFO'!$A:$A,'tuot-PVÄ'!B259)</f>
        <v>85.373999999999995</v>
      </c>
      <c r="AK259" s="55">
        <f>SUMIFS('tuot-INFO'!X:X,'tuot-INFO'!$A:$A,'tuot-PVÄ'!B259)</f>
        <v>9.1800000000000068</v>
      </c>
    </row>
    <row r="260" spans="1:37" x14ac:dyDescent="0.25">
      <c r="A260" s="169">
        <f t="shared" si="69"/>
        <v>42746</v>
      </c>
      <c r="B260" s="23">
        <f>ROUNDUP((A260-Yleistiedot!$B$4)/7,0)</f>
        <v>54</v>
      </c>
      <c r="C260" s="16"/>
      <c r="D260" s="25"/>
      <c r="E260" s="25"/>
      <c r="F260" s="25"/>
      <c r="G260" s="25"/>
      <c r="H260" s="25"/>
      <c r="I260" s="65">
        <f t="shared" ref="I260:I323" si="81">SUM(E260:H260)</f>
        <v>0</v>
      </c>
      <c r="J260" s="26"/>
      <c r="K260" s="25"/>
      <c r="L260" s="16"/>
      <c r="M260" s="16"/>
      <c r="N260" s="25"/>
      <c r="O260" s="30"/>
      <c r="P260" s="252">
        <f t="shared" si="76"/>
        <v>9990</v>
      </c>
      <c r="Q260" s="253">
        <f t="shared" si="77"/>
        <v>0</v>
      </c>
      <c r="R260" s="253">
        <f t="shared" si="78"/>
        <v>0</v>
      </c>
      <c r="S260" s="251">
        <f>SUMIFS('tuot-rehukirjanpito'!D:D,'tuot-rehukirjanpito'!A:A,A260)</f>
        <v>0</v>
      </c>
      <c r="T260" s="254">
        <f t="shared" si="72"/>
        <v>1098.9000000000001</v>
      </c>
      <c r="U260" s="254">
        <f t="shared" si="73"/>
        <v>1098.8999999999999</v>
      </c>
      <c r="V260" s="252">
        <f t="shared" si="74"/>
        <v>-283516.19999999949</v>
      </c>
      <c r="W260" s="255">
        <f t="shared" si="75"/>
        <v>-257.99999999999949</v>
      </c>
      <c r="X260" s="256" t="str">
        <f t="shared" si="79"/>
        <v/>
      </c>
      <c r="Y260" s="256" t="str">
        <f t="shared" si="80"/>
        <v/>
      </c>
      <c r="Z260" s="224" t="str">
        <f>IF(IFERROR(INDEX('tuot-rehukirjanpito'!I:I,MATCH(A260,'tuot-rehukirjanpito'!G:G,0)),)=0,"",INDEX('tuot-rehukirjanpito'!I:I,MATCH(A260,'tuot-rehukirjanpito'!G:G,0)))</f>
        <v/>
      </c>
      <c r="AA260" s="224">
        <f>SUMIFS('tuot-INFO'!$K$10:$K$115,'tuot-INFO'!$A$10:$A$115,'tuot-PVÄ'!B260)</f>
        <v>65.099999999999994</v>
      </c>
      <c r="AB260" s="224">
        <f>SUMIFS('rehu-vesi-INFO'!$R:$R,'rehu-vesi-INFO'!$A:$A,'tuot-PVÄ'!B260)</f>
        <v>1705</v>
      </c>
      <c r="AC260" s="224">
        <f>SUMIFS('rehu-vesi-INFO'!$S:$S,'rehu-vesi-INFO'!$A:$A,'tuot-PVÄ'!B260)</f>
        <v>1810</v>
      </c>
      <c r="AD260" s="224">
        <f t="shared" ref="AD260:AD323" si="82">AC260-AB260</f>
        <v>105</v>
      </c>
      <c r="AE260" s="224">
        <f t="shared" ref="AE260:AE323" si="83">K260/10</f>
        <v>0</v>
      </c>
      <c r="AF260" s="224">
        <f t="shared" ref="AF260:AF323" si="84">AB260/10</f>
        <v>170.5</v>
      </c>
      <c r="AG260" s="224">
        <f t="shared" ref="AG260:AG323" si="85">AD260/10</f>
        <v>10.5</v>
      </c>
      <c r="AH260" s="257">
        <f t="shared" si="70"/>
        <v>0</v>
      </c>
      <c r="AI260" s="258">
        <f t="shared" si="71"/>
        <v>0</v>
      </c>
      <c r="AJ260" s="55">
        <f>SUMIFS('tuot-INFO'!W:W,'tuot-INFO'!$A:$A,'tuot-PVÄ'!B260)</f>
        <v>85.373999999999995</v>
      </c>
      <c r="AK260" s="55">
        <f>SUMIFS('tuot-INFO'!X:X,'tuot-INFO'!$A:$A,'tuot-PVÄ'!B260)</f>
        <v>9.1800000000000068</v>
      </c>
    </row>
    <row r="261" spans="1:37" x14ac:dyDescent="0.25">
      <c r="A261" s="169">
        <f t="shared" ref="A261:A324" si="86">A260+1</f>
        <v>42747</v>
      </c>
      <c r="B261" s="23">
        <f>ROUNDUP((A261-Yleistiedot!$B$4)/7,0)</f>
        <v>54</v>
      </c>
      <c r="C261" s="16"/>
      <c r="D261" s="25"/>
      <c r="E261" s="25"/>
      <c r="F261" s="25"/>
      <c r="G261" s="25"/>
      <c r="H261" s="25"/>
      <c r="I261" s="65">
        <f t="shared" si="81"/>
        <v>0</v>
      </c>
      <c r="J261" s="26"/>
      <c r="K261" s="25"/>
      <c r="L261" s="16"/>
      <c r="M261" s="16"/>
      <c r="N261" s="25"/>
      <c r="O261" s="30"/>
      <c r="P261" s="252">
        <f t="shared" si="76"/>
        <v>9990</v>
      </c>
      <c r="Q261" s="253">
        <f t="shared" si="77"/>
        <v>0</v>
      </c>
      <c r="R261" s="253">
        <f t="shared" si="78"/>
        <v>0</v>
      </c>
      <c r="S261" s="251">
        <f>SUMIFS('tuot-rehukirjanpito'!D:D,'tuot-rehukirjanpito'!A:A,A261)</f>
        <v>0</v>
      </c>
      <c r="T261" s="254">
        <f t="shared" si="72"/>
        <v>1098.9000000000001</v>
      </c>
      <c r="U261" s="254">
        <f t="shared" si="73"/>
        <v>1098.8999999999999</v>
      </c>
      <c r="V261" s="252">
        <f t="shared" si="74"/>
        <v>-284615.09999999951</v>
      </c>
      <c r="W261" s="255">
        <f t="shared" si="75"/>
        <v>-258.99999999999955</v>
      </c>
      <c r="X261" s="256" t="str">
        <f t="shared" si="79"/>
        <v/>
      </c>
      <c r="Y261" s="256" t="str">
        <f t="shared" si="80"/>
        <v/>
      </c>
      <c r="Z261" s="224" t="str">
        <f>IF(IFERROR(INDEX('tuot-rehukirjanpito'!I:I,MATCH(A261,'tuot-rehukirjanpito'!G:G,0)),)=0,"",INDEX('tuot-rehukirjanpito'!I:I,MATCH(A261,'tuot-rehukirjanpito'!G:G,0)))</f>
        <v/>
      </c>
      <c r="AA261" s="224">
        <f>SUMIFS('tuot-INFO'!$K$10:$K$115,'tuot-INFO'!$A$10:$A$115,'tuot-PVÄ'!B261)</f>
        <v>65.099999999999994</v>
      </c>
      <c r="AB261" s="224">
        <f>SUMIFS('rehu-vesi-INFO'!$R:$R,'rehu-vesi-INFO'!$A:$A,'tuot-PVÄ'!B261)</f>
        <v>1705</v>
      </c>
      <c r="AC261" s="224">
        <f>SUMIFS('rehu-vesi-INFO'!$S:$S,'rehu-vesi-INFO'!$A:$A,'tuot-PVÄ'!B261)</f>
        <v>1810</v>
      </c>
      <c r="AD261" s="224">
        <f t="shared" si="82"/>
        <v>105</v>
      </c>
      <c r="AE261" s="224">
        <f t="shared" si="83"/>
        <v>0</v>
      </c>
      <c r="AF261" s="224">
        <f t="shared" si="84"/>
        <v>170.5</v>
      </c>
      <c r="AG261" s="224">
        <f t="shared" si="85"/>
        <v>10.5</v>
      </c>
      <c r="AH261" s="257">
        <f t="shared" si="70"/>
        <v>0</v>
      </c>
      <c r="AI261" s="258">
        <f t="shared" si="71"/>
        <v>0</v>
      </c>
      <c r="AJ261" s="55">
        <f>SUMIFS('tuot-INFO'!W:W,'tuot-INFO'!$A:$A,'tuot-PVÄ'!B261)</f>
        <v>85.373999999999995</v>
      </c>
      <c r="AK261" s="55">
        <f>SUMIFS('tuot-INFO'!X:X,'tuot-INFO'!$A:$A,'tuot-PVÄ'!B261)</f>
        <v>9.1800000000000068</v>
      </c>
    </row>
    <row r="262" spans="1:37" x14ac:dyDescent="0.25">
      <c r="A262" s="169">
        <f t="shared" si="86"/>
        <v>42748</v>
      </c>
      <c r="B262" s="23">
        <f>ROUNDUP((A262-Yleistiedot!$B$4)/7,0)</f>
        <v>54</v>
      </c>
      <c r="C262" s="16"/>
      <c r="D262" s="25"/>
      <c r="E262" s="25"/>
      <c r="F262" s="25"/>
      <c r="G262" s="25"/>
      <c r="H262" s="25"/>
      <c r="I262" s="65">
        <f t="shared" si="81"/>
        <v>0</v>
      </c>
      <c r="J262" s="26"/>
      <c r="K262" s="25"/>
      <c r="L262" s="16"/>
      <c r="M262" s="16"/>
      <c r="N262" s="25"/>
      <c r="O262" s="30"/>
      <c r="P262" s="252">
        <f t="shared" si="76"/>
        <v>9990</v>
      </c>
      <c r="Q262" s="253">
        <f t="shared" si="77"/>
        <v>0</v>
      </c>
      <c r="R262" s="253">
        <f t="shared" si="78"/>
        <v>0</v>
      </c>
      <c r="S262" s="251">
        <f>SUMIFS('tuot-rehukirjanpito'!D:D,'tuot-rehukirjanpito'!A:A,A262)</f>
        <v>0</v>
      </c>
      <c r="T262" s="254">
        <f t="shared" si="72"/>
        <v>1098.9000000000001</v>
      </c>
      <c r="U262" s="254">
        <f t="shared" si="73"/>
        <v>1098.8999999999999</v>
      </c>
      <c r="V262" s="252">
        <f t="shared" si="74"/>
        <v>-285713.99999999953</v>
      </c>
      <c r="W262" s="255">
        <f t="shared" si="75"/>
        <v>-259.99999999999955</v>
      </c>
      <c r="X262" s="256" t="str">
        <f t="shared" si="79"/>
        <v/>
      </c>
      <c r="Y262" s="256" t="str">
        <f t="shared" si="80"/>
        <v/>
      </c>
      <c r="Z262" s="224" t="str">
        <f>IF(IFERROR(INDEX('tuot-rehukirjanpito'!I:I,MATCH(A262,'tuot-rehukirjanpito'!G:G,0)),)=0,"",INDEX('tuot-rehukirjanpito'!I:I,MATCH(A262,'tuot-rehukirjanpito'!G:G,0)))</f>
        <v/>
      </c>
      <c r="AA262" s="224">
        <f>SUMIFS('tuot-INFO'!$K$10:$K$115,'tuot-INFO'!$A$10:$A$115,'tuot-PVÄ'!B262)</f>
        <v>65.099999999999994</v>
      </c>
      <c r="AB262" s="224">
        <f>SUMIFS('rehu-vesi-INFO'!$R:$R,'rehu-vesi-INFO'!$A:$A,'tuot-PVÄ'!B262)</f>
        <v>1705</v>
      </c>
      <c r="AC262" s="224">
        <f>SUMIFS('rehu-vesi-INFO'!$S:$S,'rehu-vesi-INFO'!$A:$A,'tuot-PVÄ'!B262)</f>
        <v>1810</v>
      </c>
      <c r="AD262" s="224">
        <f t="shared" si="82"/>
        <v>105</v>
      </c>
      <c r="AE262" s="224">
        <f t="shared" si="83"/>
        <v>0</v>
      </c>
      <c r="AF262" s="224">
        <f t="shared" si="84"/>
        <v>170.5</v>
      </c>
      <c r="AG262" s="224">
        <f t="shared" si="85"/>
        <v>10.5</v>
      </c>
      <c r="AH262" s="257">
        <f t="shared" ref="AH262:AH325" si="87">IFERROR(AVERAGE(L260:L262),)</f>
        <v>0</v>
      </c>
      <c r="AI262" s="258">
        <f t="shared" ref="AI262:AI325" si="88">AVERAGE(Q261+R261,Q262+R262,Q260+R260)</f>
        <v>0</v>
      </c>
      <c r="AJ262" s="55">
        <f>SUMIFS('tuot-INFO'!W:W,'tuot-INFO'!$A:$A,'tuot-PVÄ'!B262)</f>
        <v>85.373999999999995</v>
      </c>
      <c r="AK262" s="55">
        <f>SUMIFS('tuot-INFO'!X:X,'tuot-INFO'!$A:$A,'tuot-PVÄ'!B262)</f>
        <v>9.1800000000000068</v>
      </c>
    </row>
    <row r="263" spans="1:37" x14ac:dyDescent="0.25">
      <c r="A263" s="169">
        <f t="shared" si="86"/>
        <v>42749</v>
      </c>
      <c r="B263" s="23">
        <f>ROUNDUP((A263-Yleistiedot!$B$4)/7,0)</f>
        <v>55</v>
      </c>
      <c r="C263" s="16"/>
      <c r="D263" s="25"/>
      <c r="E263" s="25"/>
      <c r="F263" s="25"/>
      <c r="G263" s="25"/>
      <c r="H263" s="25"/>
      <c r="I263" s="65">
        <f t="shared" si="81"/>
        <v>0</v>
      </c>
      <c r="J263" s="26"/>
      <c r="K263" s="25"/>
      <c r="L263" s="16"/>
      <c r="M263" s="16"/>
      <c r="N263" s="25"/>
      <c r="O263" s="30"/>
      <c r="P263" s="252">
        <f t="shared" si="76"/>
        <v>9990</v>
      </c>
      <c r="Q263" s="253">
        <f t="shared" si="77"/>
        <v>0</v>
      </c>
      <c r="R263" s="253">
        <f t="shared" si="78"/>
        <v>0</v>
      </c>
      <c r="S263" s="251">
        <f>SUMIFS('tuot-rehukirjanpito'!D:D,'tuot-rehukirjanpito'!A:A,A263)</f>
        <v>0</v>
      </c>
      <c r="T263" s="254">
        <f t="shared" si="72"/>
        <v>1098.9000000000001</v>
      </c>
      <c r="U263" s="254">
        <f t="shared" si="73"/>
        <v>1098.8999999999999</v>
      </c>
      <c r="V263" s="252">
        <f t="shared" si="74"/>
        <v>-286812.89999999956</v>
      </c>
      <c r="W263" s="255">
        <f t="shared" si="75"/>
        <v>-260.9999999999996</v>
      </c>
      <c r="X263" s="256" t="str">
        <f t="shared" si="79"/>
        <v/>
      </c>
      <c r="Y263" s="256" t="str">
        <f t="shared" si="80"/>
        <v/>
      </c>
      <c r="Z263" s="224" t="str">
        <f>IF(IFERROR(INDEX('tuot-rehukirjanpito'!I:I,MATCH(A263,'tuot-rehukirjanpito'!G:G,0)),)=0,"",INDEX('tuot-rehukirjanpito'!I:I,MATCH(A263,'tuot-rehukirjanpito'!G:G,0)))</f>
        <v/>
      </c>
      <c r="AA263" s="224">
        <f>SUMIFS('tuot-INFO'!$K$10:$K$115,'tuot-INFO'!$A$10:$A$115,'tuot-PVÄ'!B263)</f>
        <v>65.2</v>
      </c>
      <c r="AB263" s="224">
        <f>SUMIFS('rehu-vesi-INFO'!$R:$R,'rehu-vesi-INFO'!$A:$A,'tuot-PVÄ'!B263)</f>
        <v>1706</v>
      </c>
      <c r="AC263" s="224">
        <f>SUMIFS('rehu-vesi-INFO'!$S:$S,'rehu-vesi-INFO'!$A:$A,'tuot-PVÄ'!B263)</f>
        <v>1812</v>
      </c>
      <c r="AD263" s="224">
        <f t="shared" si="82"/>
        <v>106</v>
      </c>
      <c r="AE263" s="224">
        <f t="shared" si="83"/>
        <v>0</v>
      </c>
      <c r="AF263" s="224">
        <f t="shared" si="84"/>
        <v>170.6</v>
      </c>
      <c r="AG263" s="224">
        <f t="shared" si="85"/>
        <v>10.6</v>
      </c>
      <c r="AH263" s="257">
        <f t="shared" si="87"/>
        <v>0</v>
      </c>
      <c r="AI263" s="258">
        <f t="shared" si="88"/>
        <v>0</v>
      </c>
      <c r="AJ263" s="55">
        <f>SUMIFS('tuot-INFO'!W:W,'tuot-INFO'!$A:$A,'tuot-PVÄ'!B263)</f>
        <v>85.00200000000001</v>
      </c>
      <c r="AK263" s="55">
        <f>SUMIFS('tuot-INFO'!X:X,'tuot-INFO'!$A:$A,'tuot-PVÄ'!B263)</f>
        <v>9.14</v>
      </c>
    </row>
    <row r="264" spans="1:37" x14ac:dyDescent="0.25">
      <c r="A264" s="169">
        <f t="shared" si="86"/>
        <v>42750</v>
      </c>
      <c r="B264" s="23">
        <f>ROUNDUP((A264-Yleistiedot!$B$4)/7,0)</f>
        <v>55</v>
      </c>
      <c r="C264" s="16"/>
      <c r="D264" s="25"/>
      <c r="E264" s="25"/>
      <c r="F264" s="25"/>
      <c r="G264" s="25"/>
      <c r="H264" s="25"/>
      <c r="I264" s="65">
        <f t="shared" si="81"/>
        <v>0</v>
      </c>
      <c r="J264" s="26"/>
      <c r="K264" s="25"/>
      <c r="L264" s="16"/>
      <c r="M264" s="16"/>
      <c r="N264" s="25"/>
      <c r="O264" s="30"/>
      <c r="P264" s="252">
        <f t="shared" si="76"/>
        <v>9990</v>
      </c>
      <c r="Q264" s="253">
        <f t="shared" si="77"/>
        <v>0</v>
      </c>
      <c r="R264" s="253">
        <f t="shared" si="78"/>
        <v>0</v>
      </c>
      <c r="S264" s="251">
        <f>SUMIFS('tuot-rehukirjanpito'!D:D,'tuot-rehukirjanpito'!A:A,A264)</f>
        <v>0</v>
      </c>
      <c r="T264" s="254">
        <f t="shared" ref="T264:T327" si="89">IF(L264&gt;0,P264*L264/1000,T263)</f>
        <v>1098.9000000000001</v>
      </c>
      <c r="U264" s="254">
        <f t="shared" ref="U264:U327" si="90">IFERROR(AVERAGEIF(T258:T264,"&lt;&gt;0"),0)</f>
        <v>1098.8999999999999</v>
      </c>
      <c r="V264" s="252">
        <f t="shared" ref="V264:V327" si="91">V263+S264-T264</f>
        <v>-287911.79999999958</v>
      </c>
      <c r="W264" s="255">
        <f t="shared" ref="W264:W327" si="92">IFERROR(V264/T264,"")</f>
        <v>-261.9999999999996</v>
      </c>
      <c r="X264" s="256" t="str">
        <f t="shared" si="79"/>
        <v/>
      </c>
      <c r="Y264" s="256" t="str">
        <f t="shared" si="80"/>
        <v/>
      </c>
      <c r="Z264" s="224" t="str">
        <f>IF(IFERROR(INDEX('tuot-rehukirjanpito'!I:I,MATCH(A264,'tuot-rehukirjanpito'!G:G,0)),)=0,"",INDEX('tuot-rehukirjanpito'!I:I,MATCH(A264,'tuot-rehukirjanpito'!G:G,0)))</f>
        <v/>
      </c>
      <c r="AA264" s="224">
        <f>SUMIFS('tuot-INFO'!$K$10:$K$115,'tuot-INFO'!$A$10:$A$115,'tuot-PVÄ'!B264)</f>
        <v>65.2</v>
      </c>
      <c r="AB264" s="224">
        <f>SUMIFS('rehu-vesi-INFO'!$R:$R,'rehu-vesi-INFO'!$A:$A,'tuot-PVÄ'!B264)</f>
        <v>1706</v>
      </c>
      <c r="AC264" s="224">
        <f>SUMIFS('rehu-vesi-INFO'!$S:$S,'rehu-vesi-INFO'!$A:$A,'tuot-PVÄ'!B264)</f>
        <v>1812</v>
      </c>
      <c r="AD264" s="224">
        <f t="shared" si="82"/>
        <v>106</v>
      </c>
      <c r="AE264" s="224">
        <f t="shared" si="83"/>
        <v>0</v>
      </c>
      <c r="AF264" s="224">
        <f t="shared" si="84"/>
        <v>170.6</v>
      </c>
      <c r="AG264" s="224">
        <f t="shared" si="85"/>
        <v>10.6</v>
      </c>
      <c r="AH264" s="257">
        <f t="shared" si="87"/>
        <v>0</v>
      </c>
      <c r="AI264" s="258">
        <f t="shared" si="88"/>
        <v>0</v>
      </c>
      <c r="AJ264" s="55">
        <f>SUMIFS('tuot-INFO'!W:W,'tuot-INFO'!$A:$A,'tuot-PVÄ'!B264)</f>
        <v>85.00200000000001</v>
      </c>
      <c r="AK264" s="55">
        <f>SUMIFS('tuot-INFO'!X:X,'tuot-INFO'!$A:$A,'tuot-PVÄ'!B264)</f>
        <v>9.14</v>
      </c>
    </row>
    <row r="265" spans="1:37" x14ac:dyDescent="0.25">
      <c r="A265" s="169">
        <f t="shared" si="86"/>
        <v>42751</v>
      </c>
      <c r="B265" s="23">
        <f>ROUNDUP((A265-Yleistiedot!$B$4)/7,0)</f>
        <v>55</v>
      </c>
      <c r="C265" s="16"/>
      <c r="D265" s="25"/>
      <c r="E265" s="25"/>
      <c r="F265" s="25"/>
      <c r="G265" s="25"/>
      <c r="H265" s="25"/>
      <c r="I265" s="65">
        <f t="shared" si="81"/>
        <v>0</v>
      </c>
      <c r="J265" s="26"/>
      <c r="K265" s="25"/>
      <c r="L265" s="16"/>
      <c r="M265" s="16"/>
      <c r="N265" s="25"/>
      <c r="O265" s="30"/>
      <c r="P265" s="252">
        <f t="shared" si="76"/>
        <v>9990</v>
      </c>
      <c r="Q265" s="253">
        <f t="shared" si="77"/>
        <v>0</v>
      </c>
      <c r="R265" s="253">
        <f t="shared" si="78"/>
        <v>0</v>
      </c>
      <c r="S265" s="251">
        <f>SUMIFS('tuot-rehukirjanpito'!D:D,'tuot-rehukirjanpito'!A:A,A265)</f>
        <v>0</v>
      </c>
      <c r="T265" s="254">
        <f t="shared" si="89"/>
        <v>1098.9000000000001</v>
      </c>
      <c r="U265" s="254">
        <f t="shared" si="90"/>
        <v>1098.8999999999999</v>
      </c>
      <c r="V265" s="252">
        <f t="shared" si="91"/>
        <v>-289010.6999999996</v>
      </c>
      <c r="W265" s="255">
        <f t="shared" si="92"/>
        <v>-262.9999999999996</v>
      </c>
      <c r="X265" s="256" t="str">
        <f t="shared" si="79"/>
        <v/>
      </c>
      <c r="Y265" s="256" t="str">
        <f t="shared" si="80"/>
        <v/>
      </c>
      <c r="Z265" s="224" t="str">
        <f>IF(IFERROR(INDEX('tuot-rehukirjanpito'!I:I,MATCH(A265,'tuot-rehukirjanpito'!G:G,0)),)=0,"",INDEX('tuot-rehukirjanpito'!I:I,MATCH(A265,'tuot-rehukirjanpito'!G:G,0)))</f>
        <v/>
      </c>
      <c r="AA265" s="224">
        <f>SUMIFS('tuot-INFO'!$K$10:$K$115,'tuot-INFO'!$A$10:$A$115,'tuot-PVÄ'!B265)</f>
        <v>65.2</v>
      </c>
      <c r="AB265" s="224">
        <f>SUMIFS('rehu-vesi-INFO'!$R:$R,'rehu-vesi-INFO'!$A:$A,'tuot-PVÄ'!B265)</f>
        <v>1706</v>
      </c>
      <c r="AC265" s="224">
        <f>SUMIFS('rehu-vesi-INFO'!$S:$S,'rehu-vesi-INFO'!$A:$A,'tuot-PVÄ'!B265)</f>
        <v>1812</v>
      </c>
      <c r="AD265" s="224">
        <f t="shared" si="82"/>
        <v>106</v>
      </c>
      <c r="AE265" s="224">
        <f t="shared" si="83"/>
        <v>0</v>
      </c>
      <c r="AF265" s="224">
        <f t="shared" si="84"/>
        <v>170.6</v>
      </c>
      <c r="AG265" s="224">
        <f t="shared" si="85"/>
        <v>10.6</v>
      </c>
      <c r="AH265" s="257">
        <f t="shared" si="87"/>
        <v>0</v>
      </c>
      <c r="AI265" s="258">
        <f t="shared" si="88"/>
        <v>0</v>
      </c>
      <c r="AJ265" s="55">
        <f>SUMIFS('tuot-INFO'!W:W,'tuot-INFO'!$A:$A,'tuot-PVÄ'!B265)</f>
        <v>85.00200000000001</v>
      </c>
      <c r="AK265" s="55">
        <f>SUMIFS('tuot-INFO'!X:X,'tuot-INFO'!$A:$A,'tuot-PVÄ'!B265)</f>
        <v>9.14</v>
      </c>
    </row>
    <row r="266" spans="1:37" x14ac:dyDescent="0.25">
      <c r="A266" s="169">
        <f t="shared" si="86"/>
        <v>42752</v>
      </c>
      <c r="B266" s="23">
        <f>ROUNDUP((A266-Yleistiedot!$B$4)/7,0)</f>
        <v>55</v>
      </c>
      <c r="C266" s="16"/>
      <c r="D266" s="25"/>
      <c r="E266" s="25"/>
      <c r="F266" s="25"/>
      <c r="G266" s="25"/>
      <c r="H266" s="25"/>
      <c r="I266" s="65">
        <f t="shared" si="81"/>
        <v>0</v>
      </c>
      <c r="J266" s="26"/>
      <c r="K266" s="25"/>
      <c r="L266" s="16"/>
      <c r="M266" s="16"/>
      <c r="N266" s="25"/>
      <c r="O266" s="30"/>
      <c r="P266" s="252">
        <f t="shared" si="76"/>
        <v>9990</v>
      </c>
      <c r="Q266" s="253">
        <f t="shared" si="77"/>
        <v>0</v>
      </c>
      <c r="R266" s="253">
        <f t="shared" si="78"/>
        <v>0</v>
      </c>
      <c r="S266" s="251">
        <f>SUMIFS('tuot-rehukirjanpito'!D:D,'tuot-rehukirjanpito'!A:A,A266)</f>
        <v>0</v>
      </c>
      <c r="T266" s="254">
        <f t="shared" si="89"/>
        <v>1098.9000000000001</v>
      </c>
      <c r="U266" s="254">
        <f t="shared" si="90"/>
        <v>1098.8999999999999</v>
      </c>
      <c r="V266" s="252">
        <f t="shared" si="91"/>
        <v>-290109.59999999963</v>
      </c>
      <c r="W266" s="255">
        <f t="shared" si="92"/>
        <v>-263.99999999999966</v>
      </c>
      <c r="X266" s="256" t="str">
        <f t="shared" si="79"/>
        <v/>
      </c>
      <c r="Y266" s="256" t="str">
        <f t="shared" si="80"/>
        <v/>
      </c>
      <c r="Z266" s="224" t="str">
        <f>IF(IFERROR(INDEX('tuot-rehukirjanpito'!I:I,MATCH(A266,'tuot-rehukirjanpito'!G:G,0)),)=0,"",INDEX('tuot-rehukirjanpito'!I:I,MATCH(A266,'tuot-rehukirjanpito'!G:G,0)))</f>
        <v/>
      </c>
      <c r="AA266" s="224">
        <f>SUMIFS('tuot-INFO'!$K$10:$K$115,'tuot-INFO'!$A$10:$A$115,'tuot-PVÄ'!B266)</f>
        <v>65.2</v>
      </c>
      <c r="AB266" s="224">
        <f>SUMIFS('rehu-vesi-INFO'!$R:$R,'rehu-vesi-INFO'!$A:$A,'tuot-PVÄ'!B266)</f>
        <v>1706</v>
      </c>
      <c r="AC266" s="224">
        <f>SUMIFS('rehu-vesi-INFO'!$S:$S,'rehu-vesi-INFO'!$A:$A,'tuot-PVÄ'!B266)</f>
        <v>1812</v>
      </c>
      <c r="AD266" s="224">
        <f t="shared" si="82"/>
        <v>106</v>
      </c>
      <c r="AE266" s="224">
        <f t="shared" si="83"/>
        <v>0</v>
      </c>
      <c r="AF266" s="224">
        <f t="shared" si="84"/>
        <v>170.6</v>
      </c>
      <c r="AG266" s="224">
        <f t="shared" si="85"/>
        <v>10.6</v>
      </c>
      <c r="AH266" s="257">
        <f t="shared" si="87"/>
        <v>0</v>
      </c>
      <c r="AI266" s="258">
        <f t="shared" si="88"/>
        <v>0</v>
      </c>
      <c r="AJ266" s="55">
        <f>SUMIFS('tuot-INFO'!W:W,'tuot-INFO'!$A:$A,'tuot-PVÄ'!B266)</f>
        <v>85.00200000000001</v>
      </c>
      <c r="AK266" s="55">
        <f>SUMIFS('tuot-INFO'!X:X,'tuot-INFO'!$A:$A,'tuot-PVÄ'!B266)</f>
        <v>9.14</v>
      </c>
    </row>
    <row r="267" spans="1:37" x14ac:dyDescent="0.25">
      <c r="A267" s="169">
        <f t="shared" si="86"/>
        <v>42753</v>
      </c>
      <c r="B267" s="23">
        <f>ROUNDUP((A267-Yleistiedot!$B$4)/7,0)</f>
        <v>55</v>
      </c>
      <c r="C267" s="16"/>
      <c r="D267" s="25"/>
      <c r="E267" s="25"/>
      <c r="F267" s="25"/>
      <c r="G267" s="25"/>
      <c r="H267" s="25"/>
      <c r="I267" s="65">
        <f t="shared" si="81"/>
        <v>0</v>
      </c>
      <c r="J267" s="26"/>
      <c r="K267" s="25"/>
      <c r="L267" s="16"/>
      <c r="M267" s="16"/>
      <c r="N267" s="25"/>
      <c r="O267" s="30"/>
      <c r="P267" s="252">
        <f t="shared" si="76"/>
        <v>9990</v>
      </c>
      <c r="Q267" s="253">
        <f t="shared" si="77"/>
        <v>0</v>
      </c>
      <c r="R267" s="253">
        <f t="shared" si="78"/>
        <v>0</v>
      </c>
      <c r="S267" s="251">
        <f>SUMIFS('tuot-rehukirjanpito'!D:D,'tuot-rehukirjanpito'!A:A,A267)</f>
        <v>0</v>
      </c>
      <c r="T267" s="254">
        <f t="shared" si="89"/>
        <v>1098.9000000000001</v>
      </c>
      <c r="U267" s="254">
        <f t="shared" si="90"/>
        <v>1098.8999999999999</v>
      </c>
      <c r="V267" s="252">
        <f t="shared" si="91"/>
        <v>-291208.49999999965</v>
      </c>
      <c r="W267" s="255">
        <f t="shared" si="92"/>
        <v>-264.99999999999966</v>
      </c>
      <c r="X267" s="256" t="str">
        <f t="shared" si="79"/>
        <v/>
      </c>
      <c r="Y267" s="256" t="str">
        <f t="shared" si="80"/>
        <v/>
      </c>
      <c r="Z267" s="224" t="str">
        <f>IF(IFERROR(INDEX('tuot-rehukirjanpito'!I:I,MATCH(A267,'tuot-rehukirjanpito'!G:G,0)),)=0,"",INDEX('tuot-rehukirjanpito'!I:I,MATCH(A267,'tuot-rehukirjanpito'!G:G,0)))</f>
        <v/>
      </c>
      <c r="AA267" s="224">
        <f>SUMIFS('tuot-INFO'!$K$10:$K$115,'tuot-INFO'!$A$10:$A$115,'tuot-PVÄ'!B267)</f>
        <v>65.2</v>
      </c>
      <c r="AB267" s="224">
        <f>SUMIFS('rehu-vesi-INFO'!$R:$R,'rehu-vesi-INFO'!$A:$A,'tuot-PVÄ'!B267)</f>
        <v>1706</v>
      </c>
      <c r="AC267" s="224">
        <f>SUMIFS('rehu-vesi-INFO'!$S:$S,'rehu-vesi-INFO'!$A:$A,'tuot-PVÄ'!B267)</f>
        <v>1812</v>
      </c>
      <c r="AD267" s="224">
        <f t="shared" si="82"/>
        <v>106</v>
      </c>
      <c r="AE267" s="224">
        <f t="shared" si="83"/>
        <v>0</v>
      </c>
      <c r="AF267" s="224">
        <f t="shared" si="84"/>
        <v>170.6</v>
      </c>
      <c r="AG267" s="224">
        <f t="shared" si="85"/>
        <v>10.6</v>
      </c>
      <c r="AH267" s="257">
        <f t="shared" si="87"/>
        <v>0</v>
      </c>
      <c r="AI267" s="258">
        <f t="shared" si="88"/>
        <v>0</v>
      </c>
      <c r="AJ267" s="55">
        <f>SUMIFS('tuot-INFO'!W:W,'tuot-INFO'!$A:$A,'tuot-PVÄ'!B267)</f>
        <v>85.00200000000001</v>
      </c>
      <c r="AK267" s="55">
        <f>SUMIFS('tuot-INFO'!X:X,'tuot-INFO'!$A:$A,'tuot-PVÄ'!B267)</f>
        <v>9.14</v>
      </c>
    </row>
    <row r="268" spans="1:37" x14ac:dyDescent="0.25">
      <c r="A268" s="169">
        <f t="shared" si="86"/>
        <v>42754</v>
      </c>
      <c r="B268" s="23">
        <f>ROUNDUP((A268-Yleistiedot!$B$4)/7,0)</f>
        <v>55</v>
      </c>
      <c r="C268" s="16"/>
      <c r="D268" s="25"/>
      <c r="E268" s="25"/>
      <c r="F268" s="25"/>
      <c r="G268" s="25"/>
      <c r="H268" s="25"/>
      <c r="I268" s="65">
        <f t="shared" si="81"/>
        <v>0</v>
      </c>
      <c r="J268" s="26"/>
      <c r="K268" s="25"/>
      <c r="L268" s="16"/>
      <c r="M268" s="16"/>
      <c r="N268" s="25"/>
      <c r="O268" s="30"/>
      <c r="P268" s="252">
        <f t="shared" si="76"/>
        <v>9990</v>
      </c>
      <c r="Q268" s="253">
        <f t="shared" si="77"/>
        <v>0</v>
      </c>
      <c r="R268" s="253">
        <f t="shared" si="78"/>
        <v>0</v>
      </c>
      <c r="S268" s="251">
        <f>SUMIFS('tuot-rehukirjanpito'!D:D,'tuot-rehukirjanpito'!A:A,A268)</f>
        <v>0</v>
      </c>
      <c r="T268" s="254">
        <f t="shared" si="89"/>
        <v>1098.9000000000001</v>
      </c>
      <c r="U268" s="254">
        <f t="shared" si="90"/>
        <v>1098.8999999999999</v>
      </c>
      <c r="V268" s="252">
        <f t="shared" si="91"/>
        <v>-292307.39999999967</v>
      </c>
      <c r="W268" s="255">
        <f t="shared" si="92"/>
        <v>-265.99999999999966</v>
      </c>
      <c r="X268" s="256" t="str">
        <f t="shared" si="79"/>
        <v/>
      </c>
      <c r="Y268" s="256" t="str">
        <f t="shared" si="80"/>
        <v/>
      </c>
      <c r="Z268" s="224" t="str">
        <f>IF(IFERROR(INDEX('tuot-rehukirjanpito'!I:I,MATCH(A268,'tuot-rehukirjanpito'!G:G,0)),)=0,"",INDEX('tuot-rehukirjanpito'!I:I,MATCH(A268,'tuot-rehukirjanpito'!G:G,0)))</f>
        <v/>
      </c>
      <c r="AA268" s="224">
        <f>SUMIFS('tuot-INFO'!$K$10:$K$115,'tuot-INFO'!$A$10:$A$115,'tuot-PVÄ'!B268)</f>
        <v>65.2</v>
      </c>
      <c r="AB268" s="224">
        <f>SUMIFS('rehu-vesi-INFO'!$R:$R,'rehu-vesi-INFO'!$A:$A,'tuot-PVÄ'!B268)</f>
        <v>1706</v>
      </c>
      <c r="AC268" s="224">
        <f>SUMIFS('rehu-vesi-INFO'!$S:$S,'rehu-vesi-INFO'!$A:$A,'tuot-PVÄ'!B268)</f>
        <v>1812</v>
      </c>
      <c r="AD268" s="224">
        <f t="shared" si="82"/>
        <v>106</v>
      </c>
      <c r="AE268" s="224">
        <f t="shared" si="83"/>
        <v>0</v>
      </c>
      <c r="AF268" s="224">
        <f t="shared" si="84"/>
        <v>170.6</v>
      </c>
      <c r="AG268" s="224">
        <f t="shared" si="85"/>
        <v>10.6</v>
      </c>
      <c r="AH268" s="257">
        <f t="shared" si="87"/>
        <v>0</v>
      </c>
      <c r="AI268" s="258">
        <f t="shared" si="88"/>
        <v>0</v>
      </c>
      <c r="AJ268" s="55">
        <f>SUMIFS('tuot-INFO'!W:W,'tuot-INFO'!$A:$A,'tuot-PVÄ'!B268)</f>
        <v>85.00200000000001</v>
      </c>
      <c r="AK268" s="55">
        <f>SUMIFS('tuot-INFO'!X:X,'tuot-INFO'!$A:$A,'tuot-PVÄ'!B268)</f>
        <v>9.14</v>
      </c>
    </row>
    <row r="269" spans="1:37" x14ac:dyDescent="0.25">
      <c r="A269" s="169">
        <f t="shared" si="86"/>
        <v>42755</v>
      </c>
      <c r="B269" s="23">
        <f>ROUNDUP((A269-Yleistiedot!$B$4)/7,0)</f>
        <v>55</v>
      </c>
      <c r="C269" s="16"/>
      <c r="D269" s="25"/>
      <c r="E269" s="25"/>
      <c r="F269" s="25"/>
      <c r="G269" s="25"/>
      <c r="H269" s="25"/>
      <c r="I269" s="65">
        <f t="shared" si="81"/>
        <v>0</v>
      </c>
      <c r="J269" s="26"/>
      <c r="K269" s="25"/>
      <c r="L269" s="16"/>
      <c r="M269" s="16"/>
      <c r="N269" s="25"/>
      <c r="O269" s="30"/>
      <c r="P269" s="252">
        <f t="shared" si="76"/>
        <v>9990</v>
      </c>
      <c r="Q269" s="253">
        <f t="shared" si="77"/>
        <v>0</v>
      </c>
      <c r="R269" s="253">
        <f t="shared" si="78"/>
        <v>0</v>
      </c>
      <c r="S269" s="251">
        <f>SUMIFS('tuot-rehukirjanpito'!D:D,'tuot-rehukirjanpito'!A:A,A269)</f>
        <v>0</v>
      </c>
      <c r="T269" s="254">
        <f t="shared" si="89"/>
        <v>1098.9000000000001</v>
      </c>
      <c r="U269" s="254">
        <f t="shared" si="90"/>
        <v>1098.8999999999999</v>
      </c>
      <c r="V269" s="252">
        <f t="shared" si="91"/>
        <v>-293406.2999999997</v>
      </c>
      <c r="W269" s="255">
        <f t="shared" si="92"/>
        <v>-266.99999999999972</v>
      </c>
      <c r="X269" s="256" t="str">
        <f t="shared" si="79"/>
        <v/>
      </c>
      <c r="Y269" s="256" t="str">
        <f t="shared" si="80"/>
        <v/>
      </c>
      <c r="Z269" s="224" t="str">
        <f>IF(IFERROR(INDEX('tuot-rehukirjanpito'!I:I,MATCH(A269,'tuot-rehukirjanpito'!G:G,0)),)=0,"",INDEX('tuot-rehukirjanpito'!I:I,MATCH(A269,'tuot-rehukirjanpito'!G:G,0)))</f>
        <v/>
      </c>
      <c r="AA269" s="224">
        <f>SUMIFS('tuot-INFO'!$K$10:$K$115,'tuot-INFO'!$A$10:$A$115,'tuot-PVÄ'!B269)</f>
        <v>65.2</v>
      </c>
      <c r="AB269" s="224">
        <f>SUMIFS('rehu-vesi-INFO'!$R:$R,'rehu-vesi-INFO'!$A:$A,'tuot-PVÄ'!B269)</f>
        <v>1706</v>
      </c>
      <c r="AC269" s="224">
        <f>SUMIFS('rehu-vesi-INFO'!$S:$S,'rehu-vesi-INFO'!$A:$A,'tuot-PVÄ'!B269)</f>
        <v>1812</v>
      </c>
      <c r="AD269" s="224">
        <f t="shared" si="82"/>
        <v>106</v>
      </c>
      <c r="AE269" s="224">
        <f t="shared" si="83"/>
        <v>0</v>
      </c>
      <c r="AF269" s="224">
        <f t="shared" si="84"/>
        <v>170.6</v>
      </c>
      <c r="AG269" s="224">
        <f t="shared" si="85"/>
        <v>10.6</v>
      </c>
      <c r="AH269" s="257">
        <f t="shared" si="87"/>
        <v>0</v>
      </c>
      <c r="AI269" s="258">
        <f t="shared" si="88"/>
        <v>0</v>
      </c>
      <c r="AJ269" s="55">
        <f>SUMIFS('tuot-INFO'!W:W,'tuot-INFO'!$A:$A,'tuot-PVÄ'!B269)</f>
        <v>85.00200000000001</v>
      </c>
      <c r="AK269" s="55">
        <f>SUMIFS('tuot-INFO'!X:X,'tuot-INFO'!$A:$A,'tuot-PVÄ'!B269)</f>
        <v>9.14</v>
      </c>
    </row>
    <row r="270" spans="1:37" x14ac:dyDescent="0.25">
      <c r="A270" s="169">
        <f t="shared" si="86"/>
        <v>42756</v>
      </c>
      <c r="B270" s="23">
        <f>ROUNDUP((A270-Yleistiedot!$B$4)/7,0)</f>
        <v>56</v>
      </c>
      <c r="C270" s="16"/>
      <c r="D270" s="25"/>
      <c r="E270" s="25"/>
      <c r="F270" s="25"/>
      <c r="G270" s="25"/>
      <c r="H270" s="25"/>
      <c r="I270" s="65">
        <f t="shared" si="81"/>
        <v>0</v>
      </c>
      <c r="J270" s="26"/>
      <c r="K270" s="25"/>
      <c r="L270" s="16"/>
      <c r="M270" s="16"/>
      <c r="N270" s="25"/>
      <c r="O270" s="30"/>
      <c r="P270" s="252">
        <f t="shared" si="76"/>
        <v>9990</v>
      </c>
      <c r="Q270" s="253">
        <f t="shared" si="77"/>
        <v>0</v>
      </c>
      <c r="R270" s="253">
        <f t="shared" si="78"/>
        <v>0</v>
      </c>
      <c r="S270" s="251">
        <f>SUMIFS('tuot-rehukirjanpito'!D:D,'tuot-rehukirjanpito'!A:A,A270)</f>
        <v>0</v>
      </c>
      <c r="T270" s="254">
        <f t="shared" si="89"/>
        <v>1098.9000000000001</v>
      </c>
      <c r="U270" s="254">
        <f t="shared" si="90"/>
        <v>1098.8999999999999</v>
      </c>
      <c r="V270" s="252">
        <f t="shared" si="91"/>
        <v>-294505.19999999972</v>
      </c>
      <c r="W270" s="255">
        <f t="shared" si="92"/>
        <v>-267.99999999999972</v>
      </c>
      <c r="X270" s="256" t="str">
        <f t="shared" si="79"/>
        <v/>
      </c>
      <c r="Y270" s="256" t="str">
        <f t="shared" si="80"/>
        <v/>
      </c>
      <c r="Z270" s="224" t="str">
        <f>IF(IFERROR(INDEX('tuot-rehukirjanpito'!I:I,MATCH(A270,'tuot-rehukirjanpito'!G:G,0)),)=0,"",INDEX('tuot-rehukirjanpito'!I:I,MATCH(A270,'tuot-rehukirjanpito'!G:G,0)))</f>
        <v/>
      </c>
      <c r="AA270" s="224">
        <f>SUMIFS('tuot-INFO'!$K$10:$K$115,'tuot-INFO'!$A$10:$A$115,'tuot-PVÄ'!B270)</f>
        <v>65.3</v>
      </c>
      <c r="AB270" s="224">
        <f>SUMIFS('rehu-vesi-INFO'!$R:$R,'rehu-vesi-INFO'!$A:$A,'tuot-PVÄ'!B270)</f>
        <v>1707</v>
      </c>
      <c r="AC270" s="224">
        <f>SUMIFS('rehu-vesi-INFO'!$S:$S,'rehu-vesi-INFO'!$A:$A,'tuot-PVÄ'!B270)</f>
        <v>1813</v>
      </c>
      <c r="AD270" s="224">
        <f t="shared" si="82"/>
        <v>106</v>
      </c>
      <c r="AE270" s="224">
        <f t="shared" si="83"/>
        <v>0</v>
      </c>
      <c r="AF270" s="224">
        <f t="shared" si="84"/>
        <v>170.7</v>
      </c>
      <c r="AG270" s="224">
        <f t="shared" si="85"/>
        <v>10.6</v>
      </c>
      <c r="AH270" s="257">
        <f t="shared" si="87"/>
        <v>0</v>
      </c>
      <c r="AI270" s="258">
        <f t="shared" si="88"/>
        <v>0</v>
      </c>
      <c r="AJ270" s="55">
        <f>SUMIFS('tuot-INFO'!W:W,'tuot-INFO'!$A:$A,'tuot-PVÄ'!B270)</f>
        <v>84.63</v>
      </c>
      <c r="AK270" s="55">
        <f>SUMIFS('tuot-INFO'!X:X,'tuot-INFO'!$A:$A,'tuot-PVÄ'!B270)</f>
        <v>9.1000000000000085</v>
      </c>
    </row>
    <row r="271" spans="1:37" x14ac:dyDescent="0.25">
      <c r="A271" s="169">
        <f t="shared" si="86"/>
        <v>42757</v>
      </c>
      <c r="B271" s="23">
        <f>ROUNDUP((A271-Yleistiedot!$B$4)/7,0)</f>
        <v>56</v>
      </c>
      <c r="C271" s="16"/>
      <c r="D271" s="25"/>
      <c r="E271" s="25"/>
      <c r="F271" s="25"/>
      <c r="G271" s="25"/>
      <c r="H271" s="25"/>
      <c r="I271" s="65">
        <f t="shared" si="81"/>
        <v>0</v>
      </c>
      <c r="J271" s="26"/>
      <c r="K271" s="25"/>
      <c r="L271" s="16"/>
      <c r="M271" s="16"/>
      <c r="N271" s="25"/>
      <c r="O271" s="30"/>
      <c r="P271" s="252">
        <f t="shared" si="76"/>
        <v>9990</v>
      </c>
      <c r="Q271" s="253">
        <f t="shared" si="77"/>
        <v>0</v>
      </c>
      <c r="R271" s="253">
        <f t="shared" si="78"/>
        <v>0</v>
      </c>
      <c r="S271" s="251">
        <f>SUMIFS('tuot-rehukirjanpito'!D:D,'tuot-rehukirjanpito'!A:A,A271)</f>
        <v>0</v>
      </c>
      <c r="T271" s="254">
        <f t="shared" si="89"/>
        <v>1098.9000000000001</v>
      </c>
      <c r="U271" s="254">
        <f t="shared" si="90"/>
        <v>1098.8999999999999</v>
      </c>
      <c r="V271" s="252">
        <f t="shared" si="91"/>
        <v>-295604.09999999974</v>
      </c>
      <c r="W271" s="255">
        <f t="shared" si="92"/>
        <v>-268.99999999999977</v>
      </c>
      <c r="X271" s="256" t="str">
        <f t="shared" si="79"/>
        <v/>
      </c>
      <c r="Y271" s="256" t="str">
        <f t="shared" si="80"/>
        <v/>
      </c>
      <c r="Z271" s="224" t="str">
        <f>IF(IFERROR(INDEX('tuot-rehukirjanpito'!I:I,MATCH(A271,'tuot-rehukirjanpito'!G:G,0)),)=0,"",INDEX('tuot-rehukirjanpito'!I:I,MATCH(A271,'tuot-rehukirjanpito'!G:G,0)))</f>
        <v/>
      </c>
      <c r="AA271" s="224">
        <f>SUMIFS('tuot-INFO'!$K$10:$K$115,'tuot-INFO'!$A$10:$A$115,'tuot-PVÄ'!B271)</f>
        <v>65.3</v>
      </c>
      <c r="AB271" s="224">
        <f>SUMIFS('rehu-vesi-INFO'!$R:$R,'rehu-vesi-INFO'!$A:$A,'tuot-PVÄ'!B271)</f>
        <v>1707</v>
      </c>
      <c r="AC271" s="224">
        <f>SUMIFS('rehu-vesi-INFO'!$S:$S,'rehu-vesi-INFO'!$A:$A,'tuot-PVÄ'!B271)</f>
        <v>1813</v>
      </c>
      <c r="AD271" s="224">
        <f t="shared" si="82"/>
        <v>106</v>
      </c>
      <c r="AE271" s="224">
        <f t="shared" si="83"/>
        <v>0</v>
      </c>
      <c r="AF271" s="224">
        <f t="shared" si="84"/>
        <v>170.7</v>
      </c>
      <c r="AG271" s="224">
        <f t="shared" si="85"/>
        <v>10.6</v>
      </c>
      <c r="AH271" s="257">
        <f t="shared" si="87"/>
        <v>0</v>
      </c>
      <c r="AI271" s="258">
        <f t="shared" si="88"/>
        <v>0</v>
      </c>
      <c r="AJ271" s="55">
        <f>SUMIFS('tuot-INFO'!W:W,'tuot-INFO'!$A:$A,'tuot-PVÄ'!B271)</f>
        <v>84.63</v>
      </c>
      <c r="AK271" s="55">
        <f>SUMIFS('tuot-INFO'!X:X,'tuot-INFO'!$A:$A,'tuot-PVÄ'!B271)</f>
        <v>9.1000000000000085</v>
      </c>
    </row>
    <row r="272" spans="1:37" x14ac:dyDescent="0.25">
      <c r="A272" s="169">
        <f t="shared" si="86"/>
        <v>42758</v>
      </c>
      <c r="B272" s="23">
        <f>ROUNDUP((A272-Yleistiedot!$B$4)/7,0)</f>
        <v>56</v>
      </c>
      <c r="C272" s="16"/>
      <c r="D272" s="25"/>
      <c r="E272" s="25"/>
      <c r="F272" s="25"/>
      <c r="G272" s="25"/>
      <c r="H272" s="25"/>
      <c r="I272" s="65">
        <f t="shared" si="81"/>
        <v>0</v>
      </c>
      <c r="J272" s="26"/>
      <c r="K272" s="25"/>
      <c r="L272" s="16"/>
      <c r="M272" s="16"/>
      <c r="N272" s="25"/>
      <c r="O272" s="30"/>
      <c r="P272" s="252">
        <f t="shared" si="76"/>
        <v>9990</v>
      </c>
      <c r="Q272" s="253">
        <f t="shared" si="77"/>
        <v>0</v>
      </c>
      <c r="R272" s="253">
        <f t="shared" si="78"/>
        <v>0</v>
      </c>
      <c r="S272" s="251">
        <f>SUMIFS('tuot-rehukirjanpito'!D:D,'tuot-rehukirjanpito'!A:A,A272)</f>
        <v>0</v>
      </c>
      <c r="T272" s="254">
        <f t="shared" si="89"/>
        <v>1098.9000000000001</v>
      </c>
      <c r="U272" s="254">
        <f t="shared" si="90"/>
        <v>1098.8999999999999</v>
      </c>
      <c r="V272" s="252">
        <f t="shared" si="91"/>
        <v>-296702.99999999977</v>
      </c>
      <c r="W272" s="255">
        <f t="shared" si="92"/>
        <v>-269.99999999999977</v>
      </c>
      <c r="X272" s="256" t="str">
        <f t="shared" si="79"/>
        <v/>
      </c>
      <c r="Y272" s="256" t="str">
        <f t="shared" si="80"/>
        <v/>
      </c>
      <c r="Z272" s="224" t="str">
        <f>IF(IFERROR(INDEX('tuot-rehukirjanpito'!I:I,MATCH(A272,'tuot-rehukirjanpito'!G:G,0)),)=0,"",INDEX('tuot-rehukirjanpito'!I:I,MATCH(A272,'tuot-rehukirjanpito'!G:G,0)))</f>
        <v/>
      </c>
      <c r="AA272" s="224">
        <f>SUMIFS('tuot-INFO'!$K$10:$K$115,'tuot-INFO'!$A$10:$A$115,'tuot-PVÄ'!B272)</f>
        <v>65.3</v>
      </c>
      <c r="AB272" s="224">
        <f>SUMIFS('rehu-vesi-INFO'!$R:$R,'rehu-vesi-INFO'!$A:$A,'tuot-PVÄ'!B272)</f>
        <v>1707</v>
      </c>
      <c r="AC272" s="224">
        <f>SUMIFS('rehu-vesi-INFO'!$S:$S,'rehu-vesi-INFO'!$A:$A,'tuot-PVÄ'!B272)</f>
        <v>1813</v>
      </c>
      <c r="AD272" s="224">
        <f t="shared" si="82"/>
        <v>106</v>
      </c>
      <c r="AE272" s="224">
        <f t="shared" si="83"/>
        <v>0</v>
      </c>
      <c r="AF272" s="224">
        <f t="shared" si="84"/>
        <v>170.7</v>
      </c>
      <c r="AG272" s="224">
        <f t="shared" si="85"/>
        <v>10.6</v>
      </c>
      <c r="AH272" s="257">
        <f t="shared" si="87"/>
        <v>0</v>
      </c>
      <c r="AI272" s="258">
        <f t="shared" si="88"/>
        <v>0</v>
      </c>
      <c r="AJ272" s="55">
        <f>SUMIFS('tuot-INFO'!W:W,'tuot-INFO'!$A:$A,'tuot-PVÄ'!B272)</f>
        <v>84.63</v>
      </c>
      <c r="AK272" s="55">
        <f>SUMIFS('tuot-INFO'!X:X,'tuot-INFO'!$A:$A,'tuot-PVÄ'!B272)</f>
        <v>9.1000000000000085</v>
      </c>
    </row>
    <row r="273" spans="1:37" x14ac:dyDescent="0.25">
      <c r="A273" s="169">
        <f t="shared" si="86"/>
        <v>42759</v>
      </c>
      <c r="B273" s="23">
        <f>ROUNDUP((A273-Yleistiedot!$B$4)/7,0)</f>
        <v>56</v>
      </c>
      <c r="C273" s="16"/>
      <c r="D273" s="25"/>
      <c r="E273" s="25"/>
      <c r="F273" s="25"/>
      <c r="G273" s="25"/>
      <c r="H273" s="25"/>
      <c r="I273" s="65">
        <f t="shared" si="81"/>
        <v>0</v>
      </c>
      <c r="J273" s="26"/>
      <c r="K273" s="25"/>
      <c r="L273" s="16"/>
      <c r="M273" s="16"/>
      <c r="N273" s="25"/>
      <c r="O273" s="30"/>
      <c r="P273" s="252">
        <f t="shared" si="76"/>
        <v>9990</v>
      </c>
      <c r="Q273" s="253">
        <f t="shared" si="77"/>
        <v>0</v>
      </c>
      <c r="R273" s="253">
        <f t="shared" si="78"/>
        <v>0</v>
      </c>
      <c r="S273" s="251">
        <f>SUMIFS('tuot-rehukirjanpito'!D:D,'tuot-rehukirjanpito'!A:A,A273)</f>
        <v>0</v>
      </c>
      <c r="T273" s="254">
        <f t="shared" si="89"/>
        <v>1098.9000000000001</v>
      </c>
      <c r="U273" s="254">
        <f t="shared" si="90"/>
        <v>1098.8999999999999</v>
      </c>
      <c r="V273" s="252">
        <f t="shared" si="91"/>
        <v>-297801.89999999979</v>
      </c>
      <c r="W273" s="255">
        <f t="shared" si="92"/>
        <v>-270.99999999999977</v>
      </c>
      <c r="X273" s="256" t="str">
        <f t="shared" si="79"/>
        <v/>
      </c>
      <c r="Y273" s="256" t="str">
        <f t="shared" si="80"/>
        <v/>
      </c>
      <c r="Z273" s="224" t="str">
        <f>IF(IFERROR(INDEX('tuot-rehukirjanpito'!I:I,MATCH(A273,'tuot-rehukirjanpito'!G:G,0)),)=0,"",INDEX('tuot-rehukirjanpito'!I:I,MATCH(A273,'tuot-rehukirjanpito'!G:G,0)))</f>
        <v/>
      </c>
      <c r="AA273" s="224">
        <f>SUMIFS('tuot-INFO'!$K$10:$K$115,'tuot-INFO'!$A$10:$A$115,'tuot-PVÄ'!B273)</f>
        <v>65.3</v>
      </c>
      <c r="AB273" s="224">
        <f>SUMIFS('rehu-vesi-INFO'!$R:$R,'rehu-vesi-INFO'!$A:$A,'tuot-PVÄ'!B273)</f>
        <v>1707</v>
      </c>
      <c r="AC273" s="224">
        <f>SUMIFS('rehu-vesi-INFO'!$S:$S,'rehu-vesi-INFO'!$A:$A,'tuot-PVÄ'!B273)</f>
        <v>1813</v>
      </c>
      <c r="AD273" s="224">
        <f t="shared" si="82"/>
        <v>106</v>
      </c>
      <c r="AE273" s="224">
        <f t="shared" si="83"/>
        <v>0</v>
      </c>
      <c r="AF273" s="224">
        <f t="shared" si="84"/>
        <v>170.7</v>
      </c>
      <c r="AG273" s="224">
        <f t="shared" si="85"/>
        <v>10.6</v>
      </c>
      <c r="AH273" s="257">
        <f t="shared" si="87"/>
        <v>0</v>
      </c>
      <c r="AI273" s="258">
        <f t="shared" si="88"/>
        <v>0</v>
      </c>
      <c r="AJ273" s="55">
        <f>SUMIFS('tuot-INFO'!W:W,'tuot-INFO'!$A:$A,'tuot-PVÄ'!B273)</f>
        <v>84.63</v>
      </c>
      <c r="AK273" s="55">
        <f>SUMIFS('tuot-INFO'!X:X,'tuot-INFO'!$A:$A,'tuot-PVÄ'!B273)</f>
        <v>9.1000000000000085</v>
      </c>
    </row>
    <row r="274" spans="1:37" x14ac:dyDescent="0.25">
      <c r="A274" s="169">
        <f t="shared" si="86"/>
        <v>42760</v>
      </c>
      <c r="B274" s="23">
        <f>ROUNDUP((A274-Yleistiedot!$B$4)/7,0)</f>
        <v>56</v>
      </c>
      <c r="C274" s="16"/>
      <c r="D274" s="25"/>
      <c r="E274" s="25"/>
      <c r="F274" s="25"/>
      <c r="G274" s="25"/>
      <c r="H274" s="25"/>
      <c r="I274" s="65">
        <f t="shared" si="81"/>
        <v>0</v>
      </c>
      <c r="J274" s="26"/>
      <c r="K274" s="25"/>
      <c r="L274" s="16"/>
      <c r="M274" s="16"/>
      <c r="N274" s="25"/>
      <c r="O274" s="30"/>
      <c r="P274" s="252">
        <f t="shared" si="76"/>
        <v>9990</v>
      </c>
      <c r="Q274" s="253">
        <f t="shared" si="77"/>
        <v>0</v>
      </c>
      <c r="R274" s="253">
        <f t="shared" si="78"/>
        <v>0</v>
      </c>
      <c r="S274" s="251">
        <f>SUMIFS('tuot-rehukirjanpito'!D:D,'tuot-rehukirjanpito'!A:A,A274)</f>
        <v>0</v>
      </c>
      <c r="T274" s="254">
        <f t="shared" si="89"/>
        <v>1098.9000000000001</v>
      </c>
      <c r="U274" s="254">
        <f t="shared" si="90"/>
        <v>1098.8999999999999</v>
      </c>
      <c r="V274" s="252">
        <f t="shared" si="91"/>
        <v>-298900.79999999981</v>
      </c>
      <c r="W274" s="255">
        <f t="shared" si="92"/>
        <v>-271.99999999999983</v>
      </c>
      <c r="X274" s="256" t="str">
        <f t="shared" si="79"/>
        <v/>
      </c>
      <c r="Y274" s="256" t="str">
        <f t="shared" si="80"/>
        <v/>
      </c>
      <c r="Z274" s="224" t="str">
        <f>IF(IFERROR(INDEX('tuot-rehukirjanpito'!I:I,MATCH(A274,'tuot-rehukirjanpito'!G:G,0)),)=0,"",INDEX('tuot-rehukirjanpito'!I:I,MATCH(A274,'tuot-rehukirjanpito'!G:G,0)))</f>
        <v/>
      </c>
      <c r="AA274" s="224">
        <f>SUMIFS('tuot-INFO'!$K$10:$K$115,'tuot-INFO'!$A$10:$A$115,'tuot-PVÄ'!B274)</f>
        <v>65.3</v>
      </c>
      <c r="AB274" s="224">
        <f>SUMIFS('rehu-vesi-INFO'!$R:$R,'rehu-vesi-INFO'!$A:$A,'tuot-PVÄ'!B274)</f>
        <v>1707</v>
      </c>
      <c r="AC274" s="224">
        <f>SUMIFS('rehu-vesi-INFO'!$S:$S,'rehu-vesi-INFO'!$A:$A,'tuot-PVÄ'!B274)</f>
        <v>1813</v>
      </c>
      <c r="AD274" s="224">
        <f t="shared" si="82"/>
        <v>106</v>
      </c>
      <c r="AE274" s="224">
        <f t="shared" si="83"/>
        <v>0</v>
      </c>
      <c r="AF274" s="224">
        <f t="shared" si="84"/>
        <v>170.7</v>
      </c>
      <c r="AG274" s="224">
        <f t="shared" si="85"/>
        <v>10.6</v>
      </c>
      <c r="AH274" s="257">
        <f t="shared" si="87"/>
        <v>0</v>
      </c>
      <c r="AI274" s="258">
        <f t="shared" si="88"/>
        <v>0</v>
      </c>
      <c r="AJ274" s="55">
        <f>SUMIFS('tuot-INFO'!W:W,'tuot-INFO'!$A:$A,'tuot-PVÄ'!B274)</f>
        <v>84.63</v>
      </c>
      <c r="AK274" s="55">
        <f>SUMIFS('tuot-INFO'!X:X,'tuot-INFO'!$A:$A,'tuot-PVÄ'!B274)</f>
        <v>9.1000000000000085</v>
      </c>
    </row>
    <row r="275" spans="1:37" x14ac:dyDescent="0.25">
      <c r="A275" s="169">
        <f t="shared" si="86"/>
        <v>42761</v>
      </c>
      <c r="B275" s="23">
        <f>ROUNDUP((A275-Yleistiedot!$B$4)/7,0)</f>
        <v>56</v>
      </c>
      <c r="C275" s="16"/>
      <c r="D275" s="25"/>
      <c r="E275" s="25"/>
      <c r="F275" s="25"/>
      <c r="G275" s="25"/>
      <c r="H275" s="25"/>
      <c r="I275" s="65">
        <f t="shared" si="81"/>
        <v>0</v>
      </c>
      <c r="J275" s="26"/>
      <c r="K275" s="25"/>
      <c r="L275" s="16"/>
      <c r="M275" s="16"/>
      <c r="N275" s="25"/>
      <c r="O275" s="30"/>
      <c r="P275" s="252">
        <f t="shared" ref="P275:P338" si="93">P274-C275</f>
        <v>9990</v>
      </c>
      <c r="Q275" s="253">
        <f t="shared" ref="Q275:Q338" si="94">D275/P275*100</f>
        <v>0</v>
      </c>
      <c r="R275" s="253">
        <f t="shared" ref="R275:R338" si="95">I275/P275*100</f>
        <v>0</v>
      </c>
      <c r="S275" s="251">
        <f>SUMIFS('tuot-rehukirjanpito'!D:D,'tuot-rehukirjanpito'!A:A,A275)</f>
        <v>0</v>
      </c>
      <c r="T275" s="254">
        <f t="shared" si="89"/>
        <v>1098.9000000000001</v>
      </c>
      <c r="U275" s="254">
        <f t="shared" si="90"/>
        <v>1098.8999999999999</v>
      </c>
      <c r="V275" s="252">
        <f t="shared" si="91"/>
        <v>-299999.69999999984</v>
      </c>
      <c r="W275" s="255">
        <f t="shared" si="92"/>
        <v>-272.99999999999983</v>
      </c>
      <c r="X275" s="256" t="str">
        <f t="shared" si="79"/>
        <v/>
      </c>
      <c r="Y275" s="256" t="str">
        <f t="shared" si="80"/>
        <v/>
      </c>
      <c r="Z275" s="224" t="str">
        <f>IF(IFERROR(INDEX('tuot-rehukirjanpito'!I:I,MATCH(A275,'tuot-rehukirjanpito'!G:G,0)),)=0,"",INDEX('tuot-rehukirjanpito'!I:I,MATCH(A275,'tuot-rehukirjanpito'!G:G,0)))</f>
        <v/>
      </c>
      <c r="AA275" s="224">
        <f>SUMIFS('tuot-INFO'!$K$10:$K$115,'tuot-INFO'!$A$10:$A$115,'tuot-PVÄ'!B275)</f>
        <v>65.3</v>
      </c>
      <c r="AB275" s="224">
        <f>SUMIFS('rehu-vesi-INFO'!$R:$R,'rehu-vesi-INFO'!$A:$A,'tuot-PVÄ'!B275)</f>
        <v>1707</v>
      </c>
      <c r="AC275" s="224">
        <f>SUMIFS('rehu-vesi-INFO'!$S:$S,'rehu-vesi-INFO'!$A:$A,'tuot-PVÄ'!B275)</f>
        <v>1813</v>
      </c>
      <c r="AD275" s="224">
        <f t="shared" si="82"/>
        <v>106</v>
      </c>
      <c r="AE275" s="224">
        <f t="shared" si="83"/>
        <v>0</v>
      </c>
      <c r="AF275" s="224">
        <f t="shared" si="84"/>
        <v>170.7</v>
      </c>
      <c r="AG275" s="224">
        <f t="shared" si="85"/>
        <v>10.6</v>
      </c>
      <c r="AH275" s="257">
        <f t="shared" si="87"/>
        <v>0</v>
      </c>
      <c r="AI275" s="258">
        <f t="shared" si="88"/>
        <v>0</v>
      </c>
      <c r="AJ275" s="55">
        <f>SUMIFS('tuot-INFO'!W:W,'tuot-INFO'!$A:$A,'tuot-PVÄ'!B275)</f>
        <v>84.63</v>
      </c>
      <c r="AK275" s="55">
        <f>SUMIFS('tuot-INFO'!X:X,'tuot-INFO'!$A:$A,'tuot-PVÄ'!B275)</f>
        <v>9.1000000000000085</v>
      </c>
    </row>
    <row r="276" spans="1:37" x14ac:dyDescent="0.25">
      <c r="A276" s="169">
        <f t="shared" si="86"/>
        <v>42762</v>
      </c>
      <c r="B276" s="23">
        <f>ROUNDUP((A276-Yleistiedot!$B$4)/7,0)</f>
        <v>56</v>
      </c>
      <c r="C276" s="16"/>
      <c r="D276" s="25"/>
      <c r="E276" s="25"/>
      <c r="F276" s="25"/>
      <c r="G276" s="25"/>
      <c r="H276" s="25"/>
      <c r="I276" s="65">
        <f t="shared" si="81"/>
        <v>0</v>
      </c>
      <c r="J276" s="26"/>
      <c r="K276" s="25"/>
      <c r="L276" s="16"/>
      <c r="M276" s="16"/>
      <c r="N276" s="25"/>
      <c r="O276" s="30"/>
      <c r="P276" s="252">
        <f t="shared" si="93"/>
        <v>9990</v>
      </c>
      <c r="Q276" s="253">
        <f t="shared" si="94"/>
        <v>0</v>
      </c>
      <c r="R276" s="253">
        <f t="shared" si="95"/>
        <v>0</v>
      </c>
      <c r="S276" s="251">
        <f>SUMIFS('tuot-rehukirjanpito'!D:D,'tuot-rehukirjanpito'!A:A,A276)</f>
        <v>0</v>
      </c>
      <c r="T276" s="254">
        <f t="shared" si="89"/>
        <v>1098.9000000000001</v>
      </c>
      <c r="U276" s="254">
        <f t="shared" si="90"/>
        <v>1098.8999999999999</v>
      </c>
      <c r="V276" s="252">
        <f t="shared" si="91"/>
        <v>-301098.59999999986</v>
      </c>
      <c r="W276" s="255">
        <f t="shared" si="92"/>
        <v>-273.99999999999983</v>
      </c>
      <c r="X276" s="256" t="str">
        <f t="shared" si="79"/>
        <v/>
      </c>
      <c r="Y276" s="256" t="str">
        <f t="shared" si="80"/>
        <v/>
      </c>
      <c r="Z276" s="224" t="str">
        <f>IF(IFERROR(INDEX('tuot-rehukirjanpito'!I:I,MATCH(A276,'tuot-rehukirjanpito'!G:G,0)),)=0,"",INDEX('tuot-rehukirjanpito'!I:I,MATCH(A276,'tuot-rehukirjanpito'!G:G,0)))</f>
        <v/>
      </c>
      <c r="AA276" s="224">
        <f>SUMIFS('tuot-INFO'!$K$10:$K$115,'tuot-INFO'!$A$10:$A$115,'tuot-PVÄ'!B276)</f>
        <v>65.3</v>
      </c>
      <c r="AB276" s="224">
        <f>SUMIFS('rehu-vesi-INFO'!$R:$R,'rehu-vesi-INFO'!$A:$A,'tuot-PVÄ'!B276)</f>
        <v>1707</v>
      </c>
      <c r="AC276" s="224">
        <f>SUMIFS('rehu-vesi-INFO'!$S:$S,'rehu-vesi-INFO'!$A:$A,'tuot-PVÄ'!B276)</f>
        <v>1813</v>
      </c>
      <c r="AD276" s="224">
        <f t="shared" si="82"/>
        <v>106</v>
      </c>
      <c r="AE276" s="224">
        <f t="shared" si="83"/>
        <v>0</v>
      </c>
      <c r="AF276" s="224">
        <f t="shared" si="84"/>
        <v>170.7</v>
      </c>
      <c r="AG276" s="224">
        <f t="shared" si="85"/>
        <v>10.6</v>
      </c>
      <c r="AH276" s="257">
        <f t="shared" si="87"/>
        <v>0</v>
      </c>
      <c r="AI276" s="258">
        <f t="shared" si="88"/>
        <v>0</v>
      </c>
      <c r="AJ276" s="55">
        <f>SUMIFS('tuot-INFO'!W:W,'tuot-INFO'!$A:$A,'tuot-PVÄ'!B276)</f>
        <v>84.63</v>
      </c>
      <c r="AK276" s="55">
        <f>SUMIFS('tuot-INFO'!X:X,'tuot-INFO'!$A:$A,'tuot-PVÄ'!B276)</f>
        <v>9.1000000000000085</v>
      </c>
    </row>
    <row r="277" spans="1:37" x14ac:dyDescent="0.25">
      <c r="A277" s="169">
        <f t="shared" si="86"/>
        <v>42763</v>
      </c>
      <c r="B277" s="23">
        <f>ROUNDUP((A277-Yleistiedot!$B$4)/7,0)</f>
        <v>57</v>
      </c>
      <c r="C277" s="16"/>
      <c r="D277" s="25"/>
      <c r="E277" s="25"/>
      <c r="F277" s="25"/>
      <c r="G277" s="25"/>
      <c r="H277" s="25"/>
      <c r="I277" s="65">
        <f t="shared" si="81"/>
        <v>0</v>
      </c>
      <c r="J277" s="26"/>
      <c r="K277" s="25"/>
      <c r="L277" s="16"/>
      <c r="M277" s="16"/>
      <c r="N277" s="25"/>
      <c r="O277" s="30"/>
      <c r="P277" s="252">
        <f t="shared" si="93"/>
        <v>9990</v>
      </c>
      <c r="Q277" s="253">
        <f t="shared" si="94"/>
        <v>0</v>
      </c>
      <c r="R277" s="253">
        <f t="shared" si="95"/>
        <v>0</v>
      </c>
      <c r="S277" s="251">
        <f>SUMIFS('tuot-rehukirjanpito'!D:D,'tuot-rehukirjanpito'!A:A,A277)</f>
        <v>0</v>
      </c>
      <c r="T277" s="254">
        <f t="shared" si="89"/>
        <v>1098.9000000000001</v>
      </c>
      <c r="U277" s="254">
        <f t="shared" si="90"/>
        <v>1098.8999999999999</v>
      </c>
      <c r="V277" s="252">
        <f t="shared" si="91"/>
        <v>-302197.49999999988</v>
      </c>
      <c r="W277" s="255">
        <f t="shared" si="92"/>
        <v>-274.99999999999989</v>
      </c>
      <c r="X277" s="256" t="str">
        <f t="shared" si="79"/>
        <v/>
      </c>
      <c r="Y277" s="256" t="str">
        <f t="shared" si="80"/>
        <v/>
      </c>
      <c r="Z277" s="224" t="str">
        <f>IF(IFERROR(INDEX('tuot-rehukirjanpito'!I:I,MATCH(A277,'tuot-rehukirjanpito'!G:G,0)),)=0,"",INDEX('tuot-rehukirjanpito'!I:I,MATCH(A277,'tuot-rehukirjanpito'!G:G,0)))</f>
        <v/>
      </c>
      <c r="AA277" s="224">
        <f>SUMIFS('tuot-INFO'!$K$10:$K$115,'tuot-INFO'!$A$10:$A$115,'tuot-PVÄ'!B277)</f>
        <v>65.400000000000006</v>
      </c>
      <c r="AB277" s="224">
        <f>SUMIFS('rehu-vesi-INFO'!$R:$R,'rehu-vesi-INFO'!$A:$A,'tuot-PVÄ'!B277)</f>
        <v>1708</v>
      </c>
      <c r="AC277" s="224">
        <f>SUMIFS('rehu-vesi-INFO'!$S:$S,'rehu-vesi-INFO'!$A:$A,'tuot-PVÄ'!B277)</f>
        <v>1814</v>
      </c>
      <c r="AD277" s="224">
        <f t="shared" si="82"/>
        <v>106</v>
      </c>
      <c r="AE277" s="224">
        <f t="shared" si="83"/>
        <v>0</v>
      </c>
      <c r="AF277" s="224">
        <f t="shared" si="84"/>
        <v>170.8</v>
      </c>
      <c r="AG277" s="224">
        <f t="shared" si="85"/>
        <v>10.6</v>
      </c>
      <c r="AH277" s="257">
        <f t="shared" si="87"/>
        <v>0</v>
      </c>
      <c r="AI277" s="258">
        <f t="shared" si="88"/>
        <v>0</v>
      </c>
      <c r="AJ277" s="55">
        <f>SUMIFS('tuot-INFO'!W:W,'tuot-INFO'!$A:$A,'tuot-PVÄ'!B277)</f>
        <v>84.257999999999996</v>
      </c>
      <c r="AK277" s="55">
        <f>SUMIFS('tuot-INFO'!X:X,'tuot-INFO'!$A:$A,'tuot-PVÄ'!B277)</f>
        <v>9.0600000000000023</v>
      </c>
    </row>
    <row r="278" spans="1:37" x14ac:dyDescent="0.25">
      <c r="A278" s="169">
        <f t="shared" si="86"/>
        <v>42764</v>
      </c>
      <c r="B278" s="23">
        <f>ROUNDUP((A278-Yleistiedot!$B$4)/7,0)</f>
        <v>57</v>
      </c>
      <c r="C278" s="16"/>
      <c r="D278" s="25"/>
      <c r="E278" s="25"/>
      <c r="F278" s="25"/>
      <c r="G278" s="25"/>
      <c r="H278" s="25"/>
      <c r="I278" s="65">
        <f t="shared" si="81"/>
        <v>0</v>
      </c>
      <c r="J278" s="26"/>
      <c r="K278" s="25"/>
      <c r="L278" s="16"/>
      <c r="M278" s="16"/>
      <c r="N278" s="25"/>
      <c r="O278" s="30"/>
      <c r="P278" s="252">
        <f t="shared" si="93"/>
        <v>9990</v>
      </c>
      <c r="Q278" s="253">
        <f t="shared" si="94"/>
        <v>0</v>
      </c>
      <c r="R278" s="253">
        <f t="shared" si="95"/>
        <v>0</v>
      </c>
      <c r="S278" s="251">
        <f>SUMIFS('tuot-rehukirjanpito'!D:D,'tuot-rehukirjanpito'!A:A,A278)</f>
        <v>0</v>
      </c>
      <c r="T278" s="254">
        <f t="shared" si="89"/>
        <v>1098.9000000000001</v>
      </c>
      <c r="U278" s="254">
        <f t="shared" si="90"/>
        <v>1098.8999999999999</v>
      </c>
      <c r="V278" s="252">
        <f t="shared" si="91"/>
        <v>-303296.39999999991</v>
      </c>
      <c r="W278" s="255">
        <f t="shared" si="92"/>
        <v>-275.99999999999989</v>
      </c>
      <c r="X278" s="256" t="str">
        <f t="shared" si="79"/>
        <v/>
      </c>
      <c r="Y278" s="256" t="str">
        <f t="shared" si="80"/>
        <v/>
      </c>
      <c r="Z278" s="224" t="str">
        <f>IF(IFERROR(INDEX('tuot-rehukirjanpito'!I:I,MATCH(A278,'tuot-rehukirjanpito'!G:G,0)),)=0,"",INDEX('tuot-rehukirjanpito'!I:I,MATCH(A278,'tuot-rehukirjanpito'!G:G,0)))</f>
        <v/>
      </c>
      <c r="AA278" s="224">
        <f>SUMIFS('tuot-INFO'!$K$10:$K$115,'tuot-INFO'!$A$10:$A$115,'tuot-PVÄ'!B278)</f>
        <v>65.400000000000006</v>
      </c>
      <c r="AB278" s="224">
        <f>SUMIFS('rehu-vesi-INFO'!$R:$R,'rehu-vesi-INFO'!$A:$A,'tuot-PVÄ'!B278)</f>
        <v>1708</v>
      </c>
      <c r="AC278" s="224">
        <f>SUMIFS('rehu-vesi-INFO'!$S:$S,'rehu-vesi-INFO'!$A:$A,'tuot-PVÄ'!B278)</f>
        <v>1814</v>
      </c>
      <c r="AD278" s="224">
        <f t="shared" si="82"/>
        <v>106</v>
      </c>
      <c r="AE278" s="224">
        <f t="shared" si="83"/>
        <v>0</v>
      </c>
      <c r="AF278" s="224">
        <f t="shared" si="84"/>
        <v>170.8</v>
      </c>
      <c r="AG278" s="224">
        <f t="shared" si="85"/>
        <v>10.6</v>
      </c>
      <c r="AH278" s="257">
        <f t="shared" si="87"/>
        <v>0</v>
      </c>
      <c r="AI278" s="258">
        <f t="shared" si="88"/>
        <v>0</v>
      </c>
      <c r="AJ278" s="55">
        <f>SUMIFS('tuot-INFO'!W:W,'tuot-INFO'!$A:$A,'tuot-PVÄ'!B278)</f>
        <v>84.257999999999996</v>
      </c>
      <c r="AK278" s="55">
        <f>SUMIFS('tuot-INFO'!X:X,'tuot-INFO'!$A:$A,'tuot-PVÄ'!B278)</f>
        <v>9.0600000000000023</v>
      </c>
    </row>
    <row r="279" spans="1:37" x14ac:dyDescent="0.25">
      <c r="A279" s="169">
        <f t="shared" si="86"/>
        <v>42765</v>
      </c>
      <c r="B279" s="23">
        <f>ROUNDUP((A279-Yleistiedot!$B$4)/7,0)</f>
        <v>57</v>
      </c>
      <c r="C279" s="16"/>
      <c r="D279" s="25"/>
      <c r="E279" s="25"/>
      <c r="F279" s="25"/>
      <c r="G279" s="25"/>
      <c r="H279" s="25"/>
      <c r="I279" s="65">
        <f t="shared" si="81"/>
        <v>0</v>
      </c>
      <c r="J279" s="26"/>
      <c r="K279" s="25"/>
      <c r="L279" s="16"/>
      <c r="M279" s="16"/>
      <c r="N279" s="25"/>
      <c r="O279" s="30"/>
      <c r="P279" s="252">
        <f t="shared" si="93"/>
        <v>9990</v>
      </c>
      <c r="Q279" s="253">
        <f t="shared" si="94"/>
        <v>0</v>
      </c>
      <c r="R279" s="253">
        <f t="shared" si="95"/>
        <v>0</v>
      </c>
      <c r="S279" s="251">
        <f>SUMIFS('tuot-rehukirjanpito'!D:D,'tuot-rehukirjanpito'!A:A,A279)</f>
        <v>0</v>
      </c>
      <c r="T279" s="254">
        <f t="shared" si="89"/>
        <v>1098.9000000000001</v>
      </c>
      <c r="U279" s="254">
        <f t="shared" si="90"/>
        <v>1098.8999999999999</v>
      </c>
      <c r="V279" s="252">
        <f t="shared" si="91"/>
        <v>-304395.29999999993</v>
      </c>
      <c r="W279" s="255">
        <f t="shared" si="92"/>
        <v>-276.99999999999989</v>
      </c>
      <c r="X279" s="256" t="str">
        <f t="shared" ref="X279:X342" si="96">IF(S279&lt;&gt;0,ROUND(A279+W278,0),"")</f>
        <v/>
      </c>
      <c r="Y279" s="256" t="str">
        <f t="shared" ref="Y279:Y342" si="97">IF(S279&lt;&gt;0,ROUND(A279+W279,0),"")</f>
        <v/>
      </c>
      <c r="Z279" s="224" t="str">
        <f>IF(IFERROR(INDEX('tuot-rehukirjanpito'!I:I,MATCH(A279,'tuot-rehukirjanpito'!G:G,0)),)=0,"",INDEX('tuot-rehukirjanpito'!I:I,MATCH(A279,'tuot-rehukirjanpito'!G:G,0)))</f>
        <v/>
      </c>
      <c r="AA279" s="224">
        <f>SUMIFS('tuot-INFO'!$K$10:$K$115,'tuot-INFO'!$A$10:$A$115,'tuot-PVÄ'!B279)</f>
        <v>65.400000000000006</v>
      </c>
      <c r="AB279" s="224">
        <f>SUMIFS('rehu-vesi-INFO'!$R:$R,'rehu-vesi-INFO'!$A:$A,'tuot-PVÄ'!B279)</f>
        <v>1708</v>
      </c>
      <c r="AC279" s="224">
        <f>SUMIFS('rehu-vesi-INFO'!$S:$S,'rehu-vesi-INFO'!$A:$A,'tuot-PVÄ'!B279)</f>
        <v>1814</v>
      </c>
      <c r="AD279" s="224">
        <f t="shared" si="82"/>
        <v>106</v>
      </c>
      <c r="AE279" s="224">
        <f t="shared" si="83"/>
        <v>0</v>
      </c>
      <c r="AF279" s="224">
        <f t="shared" si="84"/>
        <v>170.8</v>
      </c>
      <c r="AG279" s="224">
        <f t="shared" si="85"/>
        <v>10.6</v>
      </c>
      <c r="AH279" s="257">
        <f t="shared" si="87"/>
        <v>0</v>
      </c>
      <c r="AI279" s="258">
        <f t="shared" si="88"/>
        <v>0</v>
      </c>
      <c r="AJ279" s="55">
        <f>SUMIFS('tuot-INFO'!W:W,'tuot-INFO'!$A:$A,'tuot-PVÄ'!B279)</f>
        <v>84.257999999999996</v>
      </c>
      <c r="AK279" s="55">
        <f>SUMIFS('tuot-INFO'!X:X,'tuot-INFO'!$A:$A,'tuot-PVÄ'!B279)</f>
        <v>9.0600000000000023</v>
      </c>
    </row>
    <row r="280" spans="1:37" x14ac:dyDescent="0.25">
      <c r="A280" s="169">
        <f t="shared" si="86"/>
        <v>42766</v>
      </c>
      <c r="B280" s="23">
        <f>ROUNDUP((A280-Yleistiedot!$B$4)/7,0)</f>
        <v>57</v>
      </c>
      <c r="C280" s="16"/>
      <c r="D280" s="25"/>
      <c r="E280" s="25"/>
      <c r="F280" s="25"/>
      <c r="G280" s="25"/>
      <c r="H280" s="25"/>
      <c r="I280" s="65">
        <f t="shared" si="81"/>
        <v>0</v>
      </c>
      <c r="J280" s="26"/>
      <c r="K280" s="25"/>
      <c r="L280" s="16"/>
      <c r="M280" s="16"/>
      <c r="N280" s="25"/>
      <c r="O280" s="30"/>
      <c r="P280" s="252">
        <f t="shared" si="93"/>
        <v>9990</v>
      </c>
      <c r="Q280" s="253">
        <f t="shared" si="94"/>
        <v>0</v>
      </c>
      <c r="R280" s="253">
        <f t="shared" si="95"/>
        <v>0</v>
      </c>
      <c r="S280" s="251">
        <f>SUMIFS('tuot-rehukirjanpito'!D:D,'tuot-rehukirjanpito'!A:A,A280)</f>
        <v>0</v>
      </c>
      <c r="T280" s="254">
        <f t="shared" si="89"/>
        <v>1098.9000000000001</v>
      </c>
      <c r="U280" s="254">
        <f t="shared" si="90"/>
        <v>1098.8999999999999</v>
      </c>
      <c r="V280" s="252">
        <f t="shared" si="91"/>
        <v>-305494.19999999995</v>
      </c>
      <c r="W280" s="255">
        <f t="shared" si="92"/>
        <v>-277.99999999999994</v>
      </c>
      <c r="X280" s="256" t="str">
        <f t="shared" si="96"/>
        <v/>
      </c>
      <c r="Y280" s="256" t="str">
        <f t="shared" si="97"/>
        <v/>
      </c>
      <c r="Z280" s="224" t="str">
        <f>IF(IFERROR(INDEX('tuot-rehukirjanpito'!I:I,MATCH(A280,'tuot-rehukirjanpito'!G:G,0)),)=0,"",INDEX('tuot-rehukirjanpito'!I:I,MATCH(A280,'tuot-rehukirjanpito'!G:G,0)))</f>
        <v/>
      </c>
      <c r="AA280" s="224">
        <f>SUMIFS('tuot-INFO'!$K$10:$K$115,'tuot-INFO'!$A$10:$A$115,'tuot-PVÄ'!B280)</f>
        <v>65.400000000000006</v>
      </c>
      <c r="AB280" s="224">
        <f>SUMIFS('rehu-vesi-INFO'!$R:$R,'rehu-vesi-INFO'!$A:$A,'tuot-PVÄ'!B280)</f>
        <v>1708</v>
      </c>
      <c r="AC280" s="224">
        <f>SUMIFS('rehu-vesi-INFO'!$S:$S,'rehu-vesi-INFO'!$A:$A,'tuot-PVÄ'!B280)</f>
        <v>1814</v>
      </c>
      <c r="AD280" s="224">
        <f t="shared" si="82"/>
        <v>106</v>
      </c>
      <c r="AE280" s="224">
        <f t="shared" si="83"/>
        <v>0</v>
      </c>
      <c r="AF280" s="224">
        <f t="shared" si="84"/>
        <v>170.8</v>
      </c>
      <c r="AG280" s="224">
        <f t="shared" si="85"/>
        <v>10.6</v>
      </c>
      <c r="AH280" s="257">
        <f t="shared" si="87"/>
        <v>0</v>
      </c>
      <c r="AI280" s="258">
        <f t="shared" si="88"/>
        <v>0</v>
      </c>
      <c r="AJ280" s="55">
        <f>SUMIFS('tuot-INFO'!W:W,'tuot-INFO'!$A:$A,'tuot-PVÄ'!B280)</f>
        <v>84.257999999999996</v>
      </c>
      <c r="AK280" s="55">
        <f>SUMIFS('tuot-INFO'!X:X,'tuot-INFO'!$A:$A,'tuot-PVÄ'!B280)</f>
        <v>9.0600000000000023</v>
      </c>
    </row>
    <row r="281" spans="1:37" x14ac:dyDescent="0.25">
      <c r="A281" s="169">
        <f t="shared" si="86"/>
        <v>42767</v>
      </c>
      <c r="B281" s="23">
        <f>ROUNDUP((A281-Yleistiedot!$B$4)/7,0)</f>
        <v>57</v>
      </c>
      <c r="C281" s="16"/>
      <c r="D281" s="25"/>
      <c r="E281" s="25"/>
      <c r="F281" s="25"/>
      <c r="G281" s="25"/>
      <c r="H281" s="25"/>
      <c r="I281" s="65">
        <f t="shared" si="81"/>
        <v>0</v>
      </c>
      <c r="J281" s="26"/>
      <c r="K281" s="25"/>
      <c r="L281" s="16"/>
      <c r="M281" s="16"/>
      <c r="N281" s="25"/>
      <c r="O281" s="30"/>
      <c r="P281" s="252">
        <f t="shared" si="93"/>
        <v>9990</v>
      </c>
      <c r="Q281" s="253">
        <f t="shared" si="94"/>
        <v>0</v>
      </c>
      <c r="R281" s="253">
        <f t="shared" si="95"/>
        <v>0</v>
      </c>
      <c r="S281" s="251">
        <f>SUMIFS('tuot-rehukirjanpito'!D:D,'tuot-rehukirjanpito'!A:A,A281)</f>
        <v>0</v>
      </c>
      <c r="T281" s="254">
        <f t="shared" si="89"/>
        <v>1098.9000000000001</v>
      </c>
      <c r="U281" s="254">
        <f t="shared" si="90"/>
        <v>1098.8999999999999</v>
      </c>
      <c r="V281" s="252">
        <f t="shared" si="91"/>
        <v>-306593.09999999998</v>
      </c>
      <c r="W281" s="255">
        <f t="shared" si="92"/>
        <v>-278.99999999999994</v>
      </c>
      <c r="X281" s="256" t="str">
        <f t="shared" si="96"/>
        <v/>
      </c>
      <c r="Y281" s="256" t="str">
        <f t="shared" si="97"/>
        <v/>
      </c>
      <c r="Z281" s="224" t="str">
        <f>IF(IFERROR(INDEX('tuot-rehukirjanpito'!I:I,MATCH(A281,'tuot-rehukirjanpito'!G:G,0)),)=0,"",INDEX('tuot-rehukirjanpito'!I:I,MATCH(A281,'tuot-rehukirjanpito'!G:G,0)))</f>
        <v/>
      </c>
      <c r="AA281" s="224">
        <f>SUMIFS('tuot-INFO'!$K$10:$K$115,'tuot-INFO'!$A$10:$A$115,'tuot-PVÄ'!B281)</f>
        <v>65.400000000000006</v>
      </c>
      <c r="AB281" s="224">
        <f>SUMIFS('rehu-vesi-INFO'!$R:$R,'rehu-vesi-INFO'!$A:$A,'tuot-PVÄ'!B281)</f>
        <v>1708</v>
      </c>
      <c r="AC281" s="224">
        <f>SUMIFS('rehu-vesi-INFO'!$S:$S,'rehu-vesi-INFO'!$A:$A,'tuot-PVÄ'!B281)</f>
        <v>1814</v>
      </c>
      <c r="AD281" s="224">
        <f t="shared" si="82"/>
        <v>106</v>
      </c>
      <c r="AE281" s="224">
        <f t="shared" si="83"/>
        <v>0</v>
      </c>
      <c r="AF281" s="224">
        <f t="shared" si="84"/>
        <v>170.8</v>
      </c>
      <c r="AG281" s="224">
        <f t="shared" si="85"/>
        <v>10.6</v>
      </c>
      <c r="AH281" s="257">
        <f t="shared" si="87"/>
        <v>0</v>
      </c>
      <c r="AI281" s="258">
        <f t="shared" si="88"/>
        <v>0</v>
      </c>
      <c r="AJ281" s="55">
        <f>SUMIFS('tuot-INFO'!W:W,'tuot-INFO'!$A:$A,'tuot-PVÄ'!B281)</f>
        <v>84.257999999999996</v>
      </c>
      <c r="AK281" s="55">
        <f>SUMIFS('tuot-INFO'!X:X,'tuot-INFO'!$A:$A,'tuot-PVÄ'!B281)</f>
        <v>9.0600000000000023</v>
      </c>
    </row>
    <row r="282" spans="1:37" x14ac:dyDescent="0.25">
      <c r="A282" s="169">
        <f t="shared" si="86"/>
        <v>42768</v>
      </c>
      <c r="B282" s="23">
        <f>ROUNDUP((A282-Yleistiedot!$B$4)/7,0)</f>
        <v>57</v>
      </c>
      <c r="C282" s="16"/>
      <c r="D282" s="25"/>
      <c r="E282" s="25"/>
      <c r="F282" s="25"/>
      <c r="G282" s="25"/>
      <c r="H282" s="25"/>
      <c r="I282" s="65">
        <f t="shared" si="81"/>
        <v>0</v>
      </c>
      <c r="J282" s="26"/>
      <c r="K282" s="25"/>
      <c r="L282" s="16"/>
      <c r="M282" s="16"/>
      <c r="N282" s="25"/>
      <c r="O282" s="30"/>
      <c r="P282" s="252">
        <f t="shared" si="93"/>
        <v>9990</v>
      </c>
      <c r="Q282" s="253">
        <f t="shared" si="94"/>
        <v>0</v>
      </c>
      <c r="R282" s="253">
        <f t="shared" si="95"/>
        <v>0</v>
      </c>
      <c r="S282" s="251">
        <f>SUMIFS('tuot-rehukirjanpito'!D:D,'tuot-rehukirjanpito'!A:A,A282)</f>
        <v>0</v>
      </c>
      <c r="T282" s="254">
        <f t="shared" si="89"/>
        <v>1098.9000000000001</v>
      </c>
      <c r="U282" s="254">
        <f t="shared" si="90"/>
        <v>1098.8999999999999</v>
      </c>
      <c r="V282" s="252">
        <f t="shared" si="91"/>
        <v>-307692</v>
      </c>
      <c r="W282" s="255">
        <f t="shared" si="92"/>
        <v>-280</v>
      </c>
      <c r="X282" s="256" t="str">
        <f t="shared" si="96"/>
        <v/>
      </c>
      <c r="Y282" s="256" t="str">
        <f t="shared" si="97"/>
        <v/>
      </c>
      <c r="Z282" s="224" t="str">
        <f>IF(IFERROR(INDEX('tuot-rehukirjanpito'!I:I,MATCH(A282,'tuot-rehukirjanpito'!G:G,0)),)=0,"",INDEX('tuot-rehukirjanpito'!I:I,MATCH(A282,'tuot-rehukirjanpito'!G:G,0)))</f>
        <v/>
      </c>
      <c r="AA282" s="224">
        <f>SUMIFS('tuot-INFO'!$K$10:$K$115,'tuot-INFO'!$A$10:$A$115,'tuot-PVÄ'!B282)</f>
        <v>65.400000000000006</v>
      </c>
      <c r="AB282" s="224">
        <f>SUMIFS('rehu-vesi-INFO'!$R:$R,'rehu-vesi-INFO'!$A:$A,'tuot-PVÄ'!B282)</f>
        <v>1708</v>
      </c>
      <c r="AC282" s="224">
        <f>SUMIFS('rehu-vesi-INFO'!$S:$S,'rehu-vesi-INFO'!$A:$A,'tuot-PVÄ'!B282)</f>
        <v>1814</v>
      </c>
      <c r="AD282" s="224">
        <f t="shared" si="82"/>
        <v>106</v>
      </c>
      <c r="AE282" s="224">
        <f t="shared" si="83"/>
        <v>0</v>
      </c>
      <c r="AF282" s="224">
        <f t="shared" si="84"/>
        <v>170.8</v>
      </c>
      <c r="AG282" s="224">
        <f t="shared" si="85"/>
        <v>10.6</v>
      </c>
      <c r="AH282" s="257">
        <f t="shared" si="87"/>
        <v>0</v>
      </c>
      <c r="AI282" s="258">
        <f t="shared" si="88"/>
        <v>0</v>
      </c>
      <c r="AJ282" s="55">
        <f>SUMIFS('tuot-INFO'!W:W,'tuot-INFO'!$A:$A,'tuot-PVÄ'!B282)</f>
        <v>84.257999999999996</v>
      </c>
      <c r="AK282" s="55">
        <f>SUMIFS('tuot-INFO'!X:X,'tuot-INFO'!$A:$A,'tuot-PVÄ'!B282)</f>
        <v>9.0600000000000023</v>
      </c>
    </row>
    <row r="283" spans="1:37" x14ac:dyDescent="0.25">
      <c r="A283" s="169">
        <f t="shared" si="86"/>
        <v>42769</v>
      </c>
      <c r="B283" s="23">
        <f>ROUNDUP((A283-Yleistiedot!$B$4)/7,0)</f>
        <v>57</v>
      </c>
      <c r="C283" s="16"/>
      <c r="D283" s="25"/>
      <c r="E283" s="25"/>
      <c r="F283" s="25"/>
      <c r="G283" s="25"/>
      <c r="H283" s="25"/>
      <c r="I283" s="65">
        <f t="shared" si="81"/>
        <v>0</v>
      </c>
      <c r="J283" s="26"/>
      <c r="K283" s="25"/>
      <c r="L283" s="16"/>
      <c r="M283" s="16"/>
      <c r="N283" s="25"/>
      <c r="O283" s="30"/>
      <c r="P283" s="252">
        <f t="shared" si="93"/>
        <v>9990</v>
      </c>
      <c r="Q283" s="253">
        <f t="shared" si="94"/>
        <v>0</v>
      </c>
      <c r="R283" s="253">
        <f t="shared" si="95"/>
        <v>0</v>
      </c>
      <c r="S283" s="251">
        <f>SUMIFS('tuot-rehukirjanpito'!D:D,'tuot-rehukirjanpito'!A:A,A283)</f>
        <v>0</v>
      </c>
      <c r="T283" s="254">
        <f t="shared" si="89"/>
        <v>1098.9000000000001</v>
      </c>
      <c r="U283" s="254">
        <f t="shared" si="90"/>
        <v>1098.8999999999999</v>
      </c>
      <c r="V283" s="252">
        <f t="shared" si="91"/>
        <v>-308790.90000000002</v>
      </c>
      <c r="W283" s="255">
        <f t="shared" si="92"/>
        <v>-281</v>
      </c>
      <c r="X283" s="256" t="str">
        <f t="shared" si="96"/>
        <v/>
      </c>
      <c r="Y283" s="256" t="str">
        <f t="shared" si="97"/>
        <v/>
      </c>
      <c r="Z283" s="224" t="str">
        <f>IF(IFERROR(INDEX('tuot-rehukirjanpito'!I:I,MATCH(A283,'tuot-rehukirjanpito'!G:G,0)),)=0,"",INDEX('tuot-rehukirjanpito'!I:I,MATCH(A283,'tuot-rehukirjanpito'!G:G,0)))</f>
        <v/>
      </c>
      <c r="AA283" s="224">
        <f>SUMIFS('tuot-INFO'!$K$10:$K$115,'tuot-INFO'!$A$10:$A$115,'tuot-PVÄ'!B283)</f>
        <v>65.400000000000006</v>
      </c>
      <c r="AB283" s="224">
        <f>SUMIFS('rehu-vesi-INFO'!$R:$R,'rehu-vesi-INFO'!$A:$A,'tuot-PVÄ'!B283)</f>
        <v>1708</v>
      </c>
      <c r="AC283" s="224">
        <f>SUMIFS('rehu-vesi-INFO'!$S:$S,'rehu-vesi-INFO'!$A:$A,'tuot-PVÄ'!B283)</f>
        <v>1814</v>
      </c>
      <c r="AD283" s="224">
        <f t="shared" si="82"/>
        <v>106</v>
      </c>
      <c r="AE283" s="224">
        <f t="shared" si="83"/>
        <v>0</v>
      </c>
      <c r="AF283" s="224">
        <f t="shared" si="84"/>
        <v>170.8</v>
      </c>
      <c r="AG283" s="224">
        <f t="shared" si="85"/>
        <v>10.6</v>
      </c>
      <c r="AH283" s="257">
        <f t="shared" si="87"/>
        <v>0</v>
      </c>
      <c r="AI283" s="258">
        <f t="shared" si="88"/>
        <v>0</v>
      </c>
      <c r="AJ283" s="55">
        <f>SUMIFS('tuot-INFO'!W:W,'tuot-INFO'!$A:$A,'tuot-PVÄ'!B283)</f>
        <v>84.257999999999996</v>
      </c>
      <c r="AK283" s="55">
        <f>SUMIFS('tuot-INFO'!X:X,'tuot-INFO'!$A:$A,'tuot-PVÄ'!B283)</f>
        <v>9.0600000000000023</v>
      </c>
    </row>
    <row r="284" spans="1:37" x14ac:dyDescent="0.25">
      <c r="A284" s="169">
        <f t="shared" si="86"/>
        <v>42770</v>
      </c>
      <c r="B284" s="23">
        <f>ROUNDUP((A284-Yleistiedot!$B$4)/7,0)</f>
        <v>58</v>
      </c>
      <c r="C284" s="16"/>
      <c r="D284" s="25"/>
      <c r="E284" s="25"/>
      <c r="F284" s="25"/>
      <c r="G284" s="25"/>
      <c r="H284" s="25"/>
      <c r="I284" s="65">
        <f t="shared" si="81"/>
        <v>0</v>
      </c>
      <c r="J284" s="26"/>
      <c r="K284" s="25"/>
      <c r="L284" s="16"/>
      <c r="M284" s="16"/>
      <c r="N284" s="25"/>
      <c r="O284" s="30"/>
      <c r="P284" s="252">
        <f t="shared" si="93"/>
        <v>9990</v>
      </c>
      <c r="Q284" s="253">
        <f t="shared" si="94"/>
        <v>0</v>
      </c>
      <c r="R284" s="253">
        <f t="shared" si="95"/>
        <v>0</v>
      </c>
      <c r="S284" s="251">
        <f>SUMIFS('tuot-rehukirjanpito'!D:D,'tuot-rehukirjanpito'!A:A,A284)</f>
        <v>0</v>
      </c>
      <c r="T284" s="254">
        <f t="shared" si="89"/>
        <v>1098.9000000000001</v>
      </c>
      <c r="U284" s="254">
        <f t="shared" si="90"/>
        <v>1098.8999999999999</v>
      </c>
      <c r="V284" s="252">
        <f t="shared" si="91"/>
        <v>-309889.80000000005</v>
      </c>
      <c r="W284" s="255">
        <f t="shared" si="92"/>
        <v>-282</v>
      </c>
      <c r="X284" s="256" t="str">
        <f t="shared" si="96"/>
        <v/>
      </c>
      <c r="Y284" s="256" t="str">
        <f t="shared" si="97"/>
        <v/>
      </c>
      <c r="Z284" s="224" t="str">
        <f>IF(IFERROR(INDEX('tuot-rehukirjanpito'!I:I,MATCH(A284,'tuot-rehukirjanpito'!G:G,0)),)=0,"",INDEX('tuot-rehukirjanpito'!I:I,MATCH(A284,'tuot-rehukirjanpito'!G:G,0)))</f>
        <v/>
      </c>
      <c r="AA284" s="224">
        <f>SUMIFS('tuot-INFO'!$K$10:$K$115,'tuot-INFO'!$A$10:$A$115,'tuot-PVÄ'!B284)</f>
        <v>65.5</v>
      </c>
      <c r="AB284" s="224">
        <f>SUMIFS('rehu-vesi-INFO'!$R:$R,'rehu-vesi-INFO'!$A:$A,'tuot-PVÄ'!B284)</f>
        <v>1710</v>
      </c>
      <c r="AC284" s="224">
        <f>SUMIFS('rehu-vesi-INFO'!$S:$S,'rehu-vesi-INFO'!$A:$A,'tuot-PVÄ'!B284)</f>
        <v>1815</v>
      </c>
      <c r="AD284" s="224">
        <f t="shared" si="82"/>
        <v>105</v>
      </c>
      <c r="AE284" s="224">
        <f t="shared" si="83"/>
        <v>0</v>
      </c>
      <c r="AF284" s="224">
        <f t="shared" si="84"/>
        <v>171</v>
      </c>
      <c r="AG284" s="224">
        <f t="shared" si="85"/>
        <v>10.5</v>
      </c>
      <c r="AH284" s="257">
        <f t="shared" si="87"/>
        <v>0</v>
      </c>
      <c r="AI284" s="258">
        <f t="shared" si="88"/>
        <v>0</v>
      </c>
      <c r="AJ284" s="55">
        <f>SUMIFS('tuot-INFO'!W:W,'tuot-INFO'!$A:$A,'tuot-PVÄ'!B284)</f>
        <v>83.885999999999996</v>
      </c>
      <c r="AK284" s="55">
        <f>SUMIFS('tuot-INFO'!X:X,'tuot-INFO'!$A:$A,'tuot-PVÄ'!B284)</f>
        <v>9.0200000000000102</v>
      </c>
    </row>
    <row r="285" spans="1:37" x14ac:dyDescent="0.25">
      <c r="A285" s="169">
        <f t="shared" si="86"/>
        <v>42771</v>
      </c>
      <c r="B285" s="23">
        <f>ROUNDUP((A285-Yleistiedot!$B$4)/7,0)</f>
        <v>58</v>
      </c>
      <c r="C285" s="16"/>
      <c r="D285" s="25"/>
      <c r="E285" s="25"/>
      <c r="F285" s="25"/>
      <c r="G285" s="25"/>
      <c r="H285" s="25"/>
      <c r="I285" s="65">
        <f t="shared" si="81"/>
        <v>0</v>
      </c>
      <c r="J285" s="26"/>
      <c r="K285" s="25"/>
      <c r="L285" s="16"/>
      <c r="M285" s="16"/>
      <c r="N285" s="25"/>
      <c r="O285" s="30"/>
      <c r="P285" s="252">
        <f t="shared" si="93"/>
        <v>9990</v>
      </c>
      <c r="Q285" s="253">
        <f t="shared" si="94"/>
        <v>0</v>
      </c>
      <c r="R285" s="253">
        <f t="shared" si="95"/>
        <v>0</v>
      </c>
      <c r="S285" s="251">
        <f>SUMIFS('tuot-rehukirjanpito'!D:D,'tuot-rehukirjanpito'!A:A,A285)</f>
        <v>0</v>
      </c>
      <c r="T285" s="254">
        <f t="shared" si="89"/>
        <v>1098.9000000000001</v>
      </c>
      <c r="U285" s="254">
        <f t="shared" si="90"/>
        <v>1098.8999999999999</v>
      </c>
      <c r="V285" s="252">
        <f t="shared" si="91"/>
        <v>-310988.70000000007</v>
      </c>
      <c r="W285" s="255">
        <f t="shared" si="92"/>
        <v>-283.00000000000006</v>
      </c>
      <c r="X285" s="256" t="str">
        <f t="shared" si="96"/>
        <v/>
      </c>
      <c r="Y285" s="256" t="str">
        <f t="shared" si="97"/>
        <v/>
      </c>
      <c r="Z285" s="224" t="str">
        <f>IF(IFERROR(INDEX('tuot-rehukirjanpito'!I:I,MATCH(A285,'tuot-rehukirjanpito'!G:G,0)),)=0,"",INDEX('tuot-rehukirjanpito'!I:I,MATCH(A285,'tuot-rehukirjanpito'!G:G,0)))</f>
        <v/>
      </c>
      <c r="AA285" s="224">
        <f>SUMIFS('tuot-INFO'!$K$10:$K$115,'tuot-INFO'!$A$10:$A$115,'tuot-PVÄ'!B285)</f>
        <v>65.5</v>
      </c>
      <c r="AB285" s="224">
        <f>SUMIFS('rehu-vesi-INFO'!$R:$R,'rehu-vesi-INFO'!$A:$A,'tuot-PVÄ'!B285)</f>
        <v>1710</v>
      </c>
      <c r="AC285" s="224">
        <f>SUMIFS('rehu-vesi-INFO'!$S:$S,'rehu-vesi-INFO'!$A:$A,'tuot-PVÄ'!B285)</f>
        <v>1815</v>
      </c>
      <c r="AD285" s="224">
        <f t="shared" si="82"/>
        <v>105</v>
      </c>
      <c r="AE285" s="224">
        <f t="shared" si="83"/>
        <v>0</v>
      </c>
      <c r="AF285" s="224">
        <f t="shared" si="84"/>
        <v>171</v>
      </c>
      <c r="AG285" s="224">
        <f t="shared" si="85"/>
        <v>10.5</v>
      </c>
      <c r="AH285" s="257">
        <f t="shared" si="87"/>
        <v>0</v>
      </c>
      <c r="AI285" s="258">
        <f t="shared" si="88"/>
        <v>0</v>
      </c>
      <c r="AJ285" s="55">
        <f>SUMIFS('tuot-INFO'!W:W,'tuot-INFO'!$A:$A,'tuot-PVÄ'!B285)</f>
        <v>83.885999999999996</v>
      </c>
      <c r="AK285" s="55">
        <f>SUMIFS('tuot-INFO'!X:X,'tuot-INFO'!$A:$A,'tuot-PVÄ'!B285)</f>
        <v>9.0200000000000102</v>
      </c>
    </row>
    <row r="286" spans="1:37" x14ac:dyDescent="0.25">
      <c r="A286" s="169">
        <f t="shared" si="86"/>
        <v>42772</v>
      </c>
      <c r="B286" s="23">
        <f>ROUNDUP((A286-Yleistiedot!$B$4)/7,0)</f>
        <v>58</v>
      </c>
      <c r="C286" s="16"/>
      <c r="D286" s="25"/>
      <c r="E286" s="25"/>
      <c r="F286" s="25"/>
      <c r="G286" s="25"/>
      <c r="H286" s="25"/>
      <c r="I286" s="65">
        <f t="shared" si="81"/>
        <v>0</v>
      </c>
      <c r="J286" s="26"/>
      <c r="K286" s="25"/>
      <c r="L286" s="16"/>
      <c r="M286" s="16"/>
      <c r="N286" s="25"/>
      <c r="O286" s="30"/>
      <c r="P286" s="252">
        <f t="shared" si="93"/>
        <v>9990</v>
      </c>
      <c r="Q286" s="253">
        <f t="shared" si="94"/>
        <v>0</v>
      </c>
      <c r="R286" s="253">
        <f t="shared" si="95"/>
        <v>0</v>
      </c>
      <c r="S286" s="251">
        <f>SUMIFS('tuot-rehukirjanpito'!D:D,'tuot-rehukirjanpito'!A:A,A286)</f>
        <v>0</v>
      </c>
      <c r="T286" s="254">
        <f t="shared" si="89"/>
        <v>1098.9000000000001</v>
      </c>
      <c r="U286" s="254">
        <f t="shared" si="90"/>
        <v>1098.8999999999999</v>
      </c>
      <c r="V286" s="252">
        <f t="shared" si="91"/>
        <v>-312087.60000000009</v>
      </c>
      <c r="W286" s="255">
        <f t="shared" si="92"/>
        <v>-284.00000000000006</v>
      </c>
      <c r="X286" s="256" t="str">
        <f t="shared" si="96"/>
        <v/>
      </c>
      <c r="Y286" s="256" t="str">
        <f t="shared" si="97"/>
        <v/>
      </c>
      <c r="Z286" s="224" t="str">
        <f>IF(IFERROR(INDEX('tuot-rehukirjanpito'!I:I,MATCH(A286,'tuot-rehukirjanpito'!G:G,0)),)=0,"",INDEX('tuot-rehukirjanpito'!I:I,MATCH(A286,'tuot-rehukirjanpito'!G:G,0)))</f>
        <v/>
      </c>
      <c r="AA286" s="224">
        <f>SUMIFS('tuot-INFO'!$K$10:$K$115,'tuot-INFO'!$A$10:$A$115,'tuot-PVÄ'!B286)</f>
        <v>65.5</v>
      </c>
      <c r="AB286" s="224">
        <f>SUMIFS('rehu-vesi-INFO'!$R:$R,'rehu-vesi-INFO'!$A:$A,'tuot-PVÄ'!B286)</f>
        <v>1710</v>
      </c>
      <c r="AC286" s="224">
        <f>SUMIFS('rehu-vesi-INFO'!$S:$S,'rehu-vesi-INFO'!$A:$A,'tuot-PVÄ'!B286)</f>
        <v>1815</v>
      </c>
      <c r="AD286" s="224">
        <f t="shared" si="82"/>
        <v>105</v>
      </c>
      <c r="AE286" s="224">
        <f t="shared" si="83"/>
        <v>0</v>
      </c>
      <c r="AF286" s="224">
        <f t="shared" si="84"/>
        <v>171</v>
      </c>
      <c r="AG286" s="224">
        <f t="shared" si="85"/>
        <v>10.5</v>
      </c>
      <c r="AH286" s="257">
        <f t="shared" si="87"/>
        <v>0</v>
      </c>
      <c r="AI286" s="258">
        <f t="shared" si="88"/>
        <v>0</v>
      </c>
      <c r="AJ286" s="55">
        <f>SUMIFS('tuot-INFO'!W:W,'tuot-INFO'!$A:$A,'tuot-PVÄ'!B286)</f>
        <v>83.885999999999996</v>
      </c>
      <c r="AK286" s="55">
        <f>SUMIFS('tuot-INFO'!X:X,'tuot-INFO'!$A:$A,'tuot-PVÄ'!B286)</f>
        <v>9.0200000000000102</v>
      </c>
    </row>
    <row r="287" spans="1:37" x14ac:dyDescent="0.25">
      <c r="A287" s="169">
        <f t="shared" si="86"/>
        <v>42773</v>
      </c>
      <c r="B287" s="23">
        <f>ROUNDUP((A287-Yleistiedot!$B$4)/7,0)</f>
        <v>58</v>
      </c>
      <c r="C287" s="16"/>
      <c r="D287" s="25"/>
      <c r="E287" s="25"/>
      <c r="F287" s="25"/>
      <c r="G287" s="25"/>
      <c r="H287" s="25"/>
      <c r="I287" s="65">
        <f t="shared" si="81"/>
        <v>0</v>
      </c>
      <c r="J287" s="26"/>
      <c r="K287" s="25"/>
      <c r="L287" s="16"/>
      <c r="M287" s="16"/>
      <c r="N287" s="25"/>
      <c r="O287" s="30"/>
      <c r="P287" s="252">
        <f t="shared" si="93"/>
        <v>9990</v>
      </c>
      <c r="Q287" s="253">
        <f t="shared" si="94"/>
        <v>0</v>
      </c>
      <c r="R287" s="253">
        <f t="shared" si="95"/>
        <v>0</v>
      </c>
      <c r="S287" s="251">
        <f>SUMIFS('tuot-rehukirjanpito'!D:D,'tuot-rehukirjanpito'!A:A,A287)</f>
        <v>0</v>
      </c>
      <c r="T287" s="254">
        <f t="shared" si="89"/>
        <v>1098.9000000000001</v>
      </c>
      <c r="U287" s="254">
        <f t="shared" si="90"/>
        <v>1098.8999999999999</v>
      </c>
      <c r="V287" s="252">
        <f t="shared" si="91"/>
        <v>-313186.50000000012</v>
      </c>
      <c r="W287" s="255">
        <f t="shared" si="92"/>
        <v>-285.00000000000006</v>
      </c>
      <c r="X287" s="256" t="str">
        <f t="shared" si="96"/>
        <v/>
      </c>
      <c r="Y287" s="256" t="str">
        <f t="shared" si="97"/>
        <v/>
      </c>
      <c r="Z287" s="224" t="str">
        <f>IF(IFERROR(INDEX('tuot-rehukirjanpito'!I:I,MATCH(A287,'tuot-rehukirjanpito'!G:G,0)),)=0,"",INDEX('tuot-rehukirjanpito'!I:I,MATCH(A287,'tuot-rehukirjanpito'!G:G,0)))</f>
        <v/>
      </c>
      <c r="AA287" s="224">
        <f>SUMIFS('tuot-INFO'!$K$10:$K$115,'tuot-INFO'!$A$10:$A$115,'tuot-PVÄ'!B287)</f>
        <v>65.5</v>
      </c>
      <c r="AB287" s="224">
        <f>SUMIFS('rehu-vesi-INFO'!$R:$R,'rehu-vesi-INFO'!$A:$A,'tuot-PVÄ'!B287)</f>
        <v>1710</v>
      </c>
      <c r="AC287" s="224">
        <f>SUMIFS('rehu-vesi-INFO'!$S:$S,'rehu-vesi-INFO'!$A:$A,'tuot-PVÄ'!B287)</f>
        <v>1815</v>
      </c>
      <c r="AD287" s="224">
        <f t="shared" si="82"/>
        <v>105</v>
      </c>
      <c r="AE287" s="224">
        <f t="shared" si="83"/>
        <v>0</v>
      </c>
      <c r="AF287" s="224">
        <f t="shared" si="84"/>
        <v>171</v>
      </c>
      <c r="AG287" s="224">
        <f t="shared" si="85"/>
        <v>10.5</v>
      </c>
      <c r="AH287" s="257">
        <f t="shared" si="87"/>
        <v>0</v>
      </c>
      <c r="AI287" s="258">
        <f t="shared" si="88"/>
        <v>0</v>
      </c>
      <c r="AJ287" s="55">
        <f>SUMIFS('tuot-INFO'!W:W,'tuot-INFO'!$A:$A,'tuot-PVÄ'!B287)</f>
        <v>83.885999999999996</v>
      </c>
      <c r="AK287" s="55">
        <f>SUMIFS('tuot-INFO'!X:X,'tuot-INFO'!$A:$A,'tuot-PVÄ'!B287)</f>
        <v>9.0200000000000102</v>
      </c>
    </row>
    <row r="288" spans="1:37" x14ac:dyDescent="0.25">
      <c r="A288" s="169">
        <f t="shared" si="86"/>
        <v>42774</v>
      </c>
      <c r="B288" s="23">
        <f>ROUNDUP((A288-Yleistiedot!$B$4)/7,0)</f>
        <v>58</v>
      </c>
      <c r="C288" s="16"/>
      <c r="D288" s="25"/>
      <c r="E288" s="25"/>
      <c r="F288" s="25"/>
      <c r="G288" s="25"/>
      <c r="H288" s="25"/>
      <c r="I288" s="65">
        <f t="shared" si="81"/>
        <v>0</v>
      </c>
      <c r="J288" s="26"/>
      <c r="K288" s="25"/>
      <c r="L288" s="16"/>
      <c r="M288" s="16"/>
      <c r="N288" s="25"/>
      <c r="O288" s="30"/>
      <c r="P288" s="252">
        <f t="shared" si="93"/>
        <v>9990</v>
      </c>
      <c r="Q288" s="253">
        <f t="shared" si="94"/>
        <v>0</v>
      </c>
      <c r="R288" s="253">
        <f t="shared" si="95"/>
        <v>0</v>
      </c>
      <c r="S288" s="251">
        <f>SUMIFS('tuot-rehukirjanpito'!D:D,'tuot-rehukirjanpito'!A:A,A288)</f>
        <v>0</v>
      </c>
      <c r="T288" s="254">
        <f t="shared" si="89"/>
        <v>1098.9000000000001</v>
      </c>
      <c r="U288" s="254">
        <f t="shared" si="90"/>
        <v>1098.8999999999999</v>
      </c>
      <c r="V288" s="252">
        <f t="shared" si="91"/>
        <v>-314285.40000000014</v>
      </c>
      <c r="W288" s="255">
        <f t="shared" si="92"/>
        <v>-286.00000000000011</v>
      </c>
      <c r="X288" s="256" t="str">
        <f t="shared" si="96"/>
        <v/>
      </c>
      <c r="Y288" s="256" t="str">
        <f t="shared" si="97"/>
        <v/>
      </c>
      <c r="Z288" s="224" t="str">
        <f>IF(IFERROR(INDEX('tuot-rehukirjanpito'!I:I,MATCH(A288,'tuot-rehukirjanpito'!G:G,0)),)=0,"",INDEX('tuot-rehukirjanpito'!I:I,MATCH(A288,'tuot-rehukirjanpito'!G:G,0)))</f>
        <v/>
      </c>
      <c r="AA288" s="224">
        <f>SUMIFS('tuot-INFO'!$K$10:$K$115,'tuot-INFO'!$A$10:$A$115,'tuot-PVÄ'!B288)</f>
        <v>65.5</v>
      </c>
      <c r="AB288" s="224">
        <f>SUMIFS('rehu-vesi-INFO'!$R:$R,'rehu-vesi-INFO'!$A:$A,'tuot-PVÄ'!B288)</f>
        <v>1710</v>
      </c>
      <c r="AC288" s="224">
        <f>SUMIFS('rehu-vesi-INFO'!$S:$S,'rehu-vesi-INFO'!$A:$A,'tuot-PVÄ'!B288)</f>
        <v>1815</v>
      </c>
      <c r="AD288" s="224">
        <f t="shared" si="82"/>
        <v>105</v>
      </c>
      <c r="AE288" s="224">
        <f t="shared" si="83"/>
        <v>0</v>
      </c>
      <c r="AF288" s="224">
        <f t="shared" si="84"/>
        <v>171</v>
      </c>
      <c r="AG288" s="224">
        <f t="shared" si="85"/>
        <v>10.5</v>
      </c>
      <c r="AH288" s="257">
        <f t="shared" si="87"/>
        <v>0</v>
      </c>
      <c r="AI288" s="258">
        <f t="shared" si="88"/>
        <v>0</v>
      </c>
      <c r="AJ288" s="55">
        <f>SUMIFS('tuot-INFO'!W:W,'tuot-INFO'!$A:$A,'tuot-PVÄ'!B288)</f>
        <v>83.885999999999996</v>
      </c>
      <c r="AK288" s="55">
        <f>SUMIFS('tuot-INFO'!X:X,'tuot-INFO'!$A:$A,'tuot-PVÄ'!B288)</f>
        <v>9.0200000000000102</v>
      </c>
    </row>
    <row r="289" spans="1:37" x14ac:dyDescent="0.25">
      <c r="A289" s="169">
        <f t="shared" si="86"/>
        <v>42775</v>
      </c>
      <c r="B289" s="23">
        <f>ROUNDUP((A289-Yleistiedot!$B$4)/7,0)</f>
        <v>58</v>
      </c>
      <c r="C289" s="16"/>
      <c r="D289" s="25"/>
      <c r="E289" s="25"/>
      <c r="F289" s="25"/>
      <c r="G289" s="25"/>
      <c r="H289" s="25"/>
      <c r="I289" s="65">
        <f t="shared" si="81"/>
        <v>0</v>
      </c>
      <c r="J289" s="26"/>
      <c r="K289" s="25"/>
      <c r="L289" s="16"/>
      <c r="M289" s="16"/>
      <c r="N289" s="25"/>
      <c r="O289" s="30"/>
      <c r="P289" s="252">
        <f t="shared" si="93"/>
        <v>9990</v>
      </c>
      <c r="Q289" s="253">
        <f t="shared" si="94"/>
        <v>0</v>
      </c>
      <c r="R289" s="253">
        <f t="shared" si="95"/>
        <v>0</v>
      </c>
      <c r="S289" s="251">
        <f>SUMIFS('tuot-rehukirjanpito'!D:D,'tuot-rehukirjanpito'!A:A,A289)</f>
        <v>0</v>
      </c>
      <c r="T289" s="254">
        <f t="shared" si="89"/>
        <v>1098.9000000000001</v>
      </c>
      <c r="U289" s="254">
        <f t="shared" si="90"/>
        <v>1098.8999999999999</v>
      </c>
      <c r="V289" s="252">
        <f t="shared" si="91"/>
        <v>-315384.30000000016</v>
      </c>
      <c r="W289" s="255">
        <f t="shared" si="92"/>
        <v>-287.00000000000011</v>
      </c>
      <c r="X289" s="256" t="str">
        <f t="shared" si="96"/>
        <v/>
      </c>
      <c r="Y289" s="256" t="str">
        <f t="shared" si="97"/>
        <v/>
      </c>
      <c r="Z289" s="224" t="str">
        <f>IF(IFERROR(INDEX('tuot-rehukirjanpito'!I:I,MATCH(A289,'tuot-rehukirjanpito'!G:G,0)),)=0,"",INDEX('tuot-rehukirjanpito'!I:I,MATCH(A289,'tuot-rehukirjanpito'!G:G,0)))</f>
        <v/>
      </c>
      <c r="AA289" s="224">
        <f>SUMIFS('tuot-INFO'!$K$10:$K$115,'tuot-INFO'!$A$10:$A$115,'tuot-PVÄ'!B289)</f>
        <v>65.5</v>
      </c>
      <c r="AB289" s="224">
        <f>SUMIFS('rehu-vesi-INFO'!$R:$R,'rehu-vesi-INFO'!$A:$A,'tuot-PVÄ'!B289)</f>
        <v>1710</v>
      </c>
      <c r="AC289" s="224">
        <f>SUMIFS('rehu-vesi-INFO'!$S:$S,'rehu-vesi-INFO'!$A:$A,'tuot-PVÄ'!B289)</f>
        <v>1815</v>
      </c>
      <c r="AD289" s="224">
        <f t="shared" si="82"/>
        <v>105</v>
      </c>
      <c r="AE289" s="224">
        <f t="shared" si="83"/>
        <v>0</v>
      </c>
      <c r="AF289" s="224">
        <f t="shared" si="84"/>
        <v>171</v>
      </c>
      <c r="AG289" s="224">
        <f t="shared" si="85"/>
        <v>10.5</v>
      </c>
      <c r="AH289" s="257">
        <f t="shared" si="87"/>
        <v>0</v>
      </c>
      <c r="AI289" s="258">
        <f t="shared" si="88"/>
        <v>0</v>
      </c>
      <c r="AJ289" s="55">
        <f>SUMIFS('tuot-INFO'!W:W,'tuot-INFO'!$A:$A,'tuot-PVÄ'!B289)</f>
        <v>83.885999999999996</v>
      </c>
      <c r="AK289" s="55">
        <f>SUMIFS('tuot-INFO'!X:X,'tuot-INFO'!$A:$A,'tuot-PVÄ'!B289)</f>
        <v>9.0200000000000102</v>
      </c>
    </row>
    <row r="290" spans="1:37" x14ac:dyDescent="0.25">
      <c r="A290" s="169">
        <f t="shared" si="86"/>
        <v>42776</v>
      </c>
      <c r="B290" s="23">
        <f>ROUNDUP((A290-Yleistiedot!$B$4)/7,0)</f>
        <v>58</v>
      </c>
      <c r="C290" s="16"/>
      <c r="D290" s="25"/>
      <c r="E290" s="25"/>
      <c r="F290" s="25"/>
      <c r="G290" s="25"/>
      <c r="H290" s="25"/>
      <c r="I290" s="65">
        <f t="shared" si="81"/>
        <v>0</v>
      </c>
      <c r="J290" s="26"/>
      <c r="K290" s="25"/>
      <c r="L290" s="16"/>
      <c r="M290" s="16"/>
      <c r="N290" s="25"/>
      <c r="O290" s="30"/>
      <c r="P290" s="252">
        <f t="shared" si="93"/>
        <v>9990</v>
      </c>
      <c r="Q290" s="253">
        <f t="shared" si="94"/>
        <v>0</v>
      </c>
      <c r="R290" s="253">
        <f t="shared" si="95"/>
        <v>0</v>
      </c>
      <c r="S290" s="251">
        <f>SUMIFS('tuot-rehukirjanpito'!D:D,'tuot-rehukirjanpito'!A:A,A290)</f>
        <v>0</v>
      </c>
      <c r="T290" s="254">
        <f t="shared" si="89"/>
        <v>1098.9000000000001</v>
      </c>
      <c r="U290" s="254">
        <f t="shared" si="90"/>
        <v>1098.8999999999999</v>
      </c>
      <c r="V290" s="252">
        <f t="shared" si="91"/>
        <v>-316483.20000000019</v>
      </c>
      <c r="W290" s="255">
        <f t="shared" si="92"/>
        <v>-288.00000000000017</v>
      </c>
      <c r="X290" s="256" t="str">
        <f t="shared" si="96"/>
        <v/>
      </c>
      <c r="Y290" s="256" t="str">
        <f t="shared" si="97"/>
        <v/>
      </c>
      <c r="Z290" s="224" t="str">
        <f>IF(IFERROR(INDEX('tuot-rehukirjanpito'!I:I,MATCH(A290,'tuot-rehukirjanpito'!G:G,0)),)=0,"",INDEX('tuot-rehukirjanpito'!I:I,MATCH(A290,'tuot-rehukirjanpito'!G:G,0)))</f>
        <v/>
      </c>
      <c r="AA290" s="224">
        <f>SUMIFS('tuot-INFO'!$K$10:$K$115,'tuot-INFO'!$A$10:$A$115,'tuot-PVÄ'!B290)</f>
        <v>65.5</v>
      </c>
      <c r="AB290" s="224">
        <f>SUMIFS('rehu-vesi-INFO'!$R:$R,'rehu-vesi-INFO'!$A:$A,'tuot-PVÄ'!B290)</f>
        <v>1710</v>
      </c>
      <c r="AC290" s="224">
        <f>SUMIFS('rehu-vesi-INFO'!$S:$S,'rehu-vesi-INFO'!$A:$A,'tuot-PVÄ'!B290)</f>
        <v>1815</v>
      </c>
      <c r="AD290" s="224">
        <f t="shared" si="82"/>
        <v>105</v>
      </c>
      <c r="AE290" s="224">
        <f t="shared" si="83"/>
        <v>0</v>
      </c>
      <c r="AF290" s="224">
        <f t="shared" si="84"/>
        <v>171</v>
      </c>
      <c r="AG290" s="224">
        <f t="shared" si="85"/>
        <v>10.5</v>
      </c>
      <c r="AH290" s="257">
        <f t="shared" si="87"/>
        <v>0</v>
      </c>
      <c r="AI290" s="258">
        <f t="shared" si="88"/>
        <v>0</v>
      </c>
      <c r="AJ290" s="55">
        <f>SUMIFS('tuot-INFO'!W:W,'tuot-INFO'!$A:$A,'tuot-PVÄ'!B290)</f>
        <v>83.885999999999996</v>
      </c>
      <c r="AK290" s="55">
        <f>SUMIFS('tuot-INFO'!X:X,'tuot-INFO'!$A:$A,'tuot-PVÄ'!B290)</f>
        <v>9.0200000000000102</v>
      </c>
    </row>
    <row r="291" spans="1:37" x14ac:dyDescent="0.25">
      <c r="A291" s="169">
        <f t="shared" si="86"/>
        <v>42777</v>
      </c>
      <c r="B291" s="23">
        <f>ROUNDUP((A291-Yleistiedot!$B$4)/7,0)</f>
        <v>59</v>
      </c>
      <c r="C291" s="16"/>
      <c r="D291" s="25"/>
      <c r="E291" s="25"/>
      <c r="F291" s="25"/>
      <c r="G291" s="25"/>
      <c r="H291" s="25"/>
      <c r="I291" s="65">
        <f t="shared" si="81"/>
        <v>0</v>
      </c>
      <c r="J291" s="26"/>
      <c r="K291" s="25"/>
      <c r="L291" s="16"/>
      <c r="M291" s="16"/>
      <c r="N291" s="25"/>
      <c r="O291" s="30"/>
      <c r="P291" s="252">
        <f t="shared" si="93"/>
        <v>9990</v>
      </c>
      <c r="Q291" s="253">
        <f t="shared" si="94"/>
        <v>0</v>
      </c>
      <c r="R291" s="253">
        <f t="shared" si="95"/>
        <v>0</v>
      </c>
      <c r="S291" s="251">
        <f>SUMIFS('tuot-rehukirjanpito'!D:D,'tuot-rehukirjanpito'!A:A,A291)</f>
        <v>0</v>
      </c>
      <c r="T291" s="254">
        <f t="shared" si="89"/>
        <v>1098.9000000000001</v>
      </c>
      <c r="U291" s="254">
        <f t="shared" si="90"/>
        <v>1098.8999999999999</v>
      </c>
      <c r="V291" s="252">
        <f t="shared" si="91"/>
        <v>-317582.10000000021</v>
      </c>
      <c r="W291" s="255">
        <f t="shared" si="92"/>
        <v>-289.00000000000017</v>
      </c>
      <c r="X291" s="256" t="str">
        <f t="shared" si="96"/>
        <v/>
      </c>
      <c r="Y291" s="256" t="str">
        <f t="shared" si="97"/>
        <v/>
      </c>
      <c r="Z291" s="224" t="str">
        <f>IF(IFERROR(INDEX('tuot-rehukirjanpito'!I:I,MATCH(A291,'tuot-rehukirjanpito'!G:G,0)),)=0,"",INDEX('tuot-rehukirjanpito'!I:I,MATCH(A291,'tuot-rehukirjanpito'!G:G,0)))</f>
        <v/>
      </c>
      <c r="AA291" s="224">
        <f>SUMIFS('tuot-INFO'!$K$10:$K$115,'tuot-INFO'!$A$10:$A$115,'tuot-PVÄ'!B291)</f>
        <v>65.5</v>
      </c>
      <c r="AB291" s="224">
        <f>SUMIFS('rehu-vesi-INFO'!$R:$R,'rehu-vesi-INFO'!$A:$A,'tuot-PVÄ'!B291)</f>
        <v>1711</v>
      </c>
      <c r="AC291" s="224">
        <f>SUMIFS('rehu-vesi-INFO'!$S:$S,'rehu-vesi-INFO'!$A:$A,'tuot-PVÄ'!B291)</f>
        <v>1817</v>
      </c>
      <c r="AD291" s="224">
        <f t="shared" si="82"/>
        <v>106</v>
      </c>
      <c r="AE291" s="224">
        <f t="shared" si="83"/>
        <v>0</v>
      </c>
      <c r="AF291" s="224">
        <f t="shared" si="84"/>
        <v>171.1</v>
      </c>
      <c r="AG291" s="224">
        <f t="shared" si="85"/>
        <v>10.6</v>
      </c>
      <c r="AH291" s="257">
        <f t="shared" si="87"/>
        <v>0</v>
      </c>
      <c r="AI291" s="258">
        <f t="shared" si="88"/>
        <v>0</v>
      </c>
      <c r="AJ291" s="55">
        <f>SUMIFS('tuot-INFO'!W:W,'tuot-INFO'!$A:$A,'tuot-PVÄ'!B291)</f>
        <v>83.513999999999996</v>
      </c>
      <c r="AK291" s="55">
        <f>SUMIFS('tuot-INFO'!X:X,'tuot-INFO'!$A:$A,'tuot-PVÄ'!B291)</f>
        <v>8.980000000000004</v>
      </c>
    </row>
    <row r="292" spans="1:37" x14ac:dyDescent="0.25">
      <c r="A292" s="169">
        <f t="shared" si="86"/>
        <v>42778</v>
      </c>
      <c r="B292" s="23">
        <f>ROUNDUP((A292-Yleistiedot!$B$4)/7,0)</f>
        <v>59</v>
      </c>
      <c r="C292" s="16"/>
      <c r="D292" s="25"/>
      <c r="E292" s="25"/>
      <c r="F292" s="25"/>
      <c r="G292" s="25"/>
      <c r="H292" s="25"/>
      <c r="I292" s="65">
        <f t="shared" si="81"/>
        <v>0</v>
      </c>
      <c r="J292" s="26"/>
      <c r="K292" s="25"/>
      <c r="L292" s="16"/>
      <c r="M292" s="16"/>
      <c r="N292" s="25"/>
      <c r="O292" s="30"/>
      <c r="P292" s="252">
        <f t="shared" si="93"/>
        <v>9990</v>
      </c>
      <c r="Q292" s="253">
        <f t="shared" si="94"/>
        <v>0</v>
      </c>
      <c r="R292" s="253">
        <f t="shared" si="95"/>
        <v>0</v>
      </c>
      <c r="S292" s="251">
        <f>SUMIFS('tuot-rehukirjanpito'!D:D,'tuot-rehukirjanpito'!A:A,A292)</f>
        <v>0</v>
      </c>
      <c r="T292" s="254">
        <f t="shared" si="89"/>
        <v>1098.9000000000001</v>
      </c>
      <c r="U292" s="254">
        <f t="shared" si="90"/>
        <v>1098.8999999999999</v>
      </c>
      <c r="V292" s="252">
        <f t="shared" si="91"/>
        <v>-318681.00000000023</v>
      </c>
      <c r="W292" s="255">
        <f t="shared" si="92"/>
        <v>-290.00000000000017</v>
      </c>
      <c r="X292" s="256" t="str">
        <f t="shared" si="96"/>
        <v/>
      </c>
      <c r="Y292" s="256" t="str">
        <f t="shared" si="97"/>
        <v/>
      </c>
      <c r="Z292" s="224" t="str">
        <f>IF(IFERROR(INDEX('tuot-rehukirjanpito'!I:I,MATCH(A292,'tuot-rehukirjanpito'!G:G,0)),)=0,"",INDEX('tuot-rehukirjanpito'!I:I,MATCH(A292,'tuot-rehukirjanpito'!G:G,0)))</f>
        <v/>
      </c>
      <c r="AA292" s="224">
        <f>SUMIFS('tuot-INFO'!$K$10:$K$115,'tuot-INFO'!$A$10:$A$115,'tuot-PVÄ'!B292)</f>
        <v>65.5</v>
      </c>
      <c r="AB292" s="224">
        <f>SUMIFS('rehu-vesi-INFO'!$R:$R,'rehu-vesi-INFO'!$A:$A,'tuot-PVÄ'!B292)</f>
        <v>1711</v>
      </c>
      <c r="AC292" s="224">
        <f>SUMIFS('rehu-vesi-INFO'!$S:$S,'rehu-vesi-INFO'!$A:$A,'tuot-PVÄ'!B292)</f>
        <v>1817</v>
      </c>
      <c r="AD292" s="224">
        <f t="shared" si="82"/>
        <v>106</v>
      </c>
      <c r="AE292" s="224">
        <f t="shared" si="83"/>
        <v>0</v>
      </c>
      <c r="AF292" s="224">
        <f t="shared" si="84"/>
        <v>171.1</v>
      </c>
      <c r="AG292" s="224">
        <f t="shared" si="85"/>
        <v>10.6</v>
      </c>
      <c r="AH292" s="257">
        <f t="shared" si="87"/>
        <v>0</v>
      </c>
      <c r="AI292" s="258">
        <f t="shared" si="88"/>
        <v>0</v>
      </c>
      <c r="AJ292" s="55">
        <f>SUMIFS('tuot-INFO'!W:W,'tuot-INFO'!$A:$A,'tuot-PVÄ'!B292)</f>
        <v>83.513999999999996</v>
      </c>
      <c r="AK292" s="55">
        <f>SUMIFS('tuot-INFO'!X:X,'tuot-INFO'!$A:$A,'tuot-PVÄ'!B292)</f>
        <v>8.980000000000004</v>
      </c>
    </row>
    <row r="293" spans="1:37" x14ac:dyDescent="0.25">
      <c r="A293" s="169">
        <f t="shared" si="86"/>
        <v>42779</v>
      </c>
      <c r="B293" s="23">
        <f>ROUNDUP((A293-Yleistiedot!$B$4)/7,0)</f>
        <v>59</v>
      </c>
      <c r="C293" s="16"/>
      <c r="D293" s="25"/>
      <c r="E293" s="25"/>
      <c r="F293" s="25"/>
      <c r="G293" s="25"/>
      <c r="H293" s="25"/>
      <c r="I293" s="65">
        <f t="shared" si="81"/>
        <v>0</v>
      </c>
      <c r="J293" s="26"/>
      <c r="K293" s="25"/>
      <c r="L293" s="16"/>
      <c r="M293" s="16"/>
      <c r="N293" s="25"/>
      <c r="O293" s="30"/>
      <c r="P293" s="252">
        <f t="shared" si="93"/>
        <v>9990</v>
      </c>
      <c r="Q293" s="253">
        <f t="shared" si="94"/>
        <v>0</v>
      </c>
      <c r="R293" s="253">
        <f t="shared" si="95"/>
        <v>0</v>
      </c>
      <c r="S293" s="251">
        <f>SUMIFS('tuot-rehukirjanpito'!D:D,'tuot-rehukirjanpito'!A:A,A293)</f>
        <v>0</v>
      </c>
      <c r="T293" s="254">
        <f t="shared" si="89"/>
        <v>1098.9000000000001</v>
      </c>
      <c r="U293" s="254">
        <f t="shared" si="90"/>
        <v>1098.8999999999999</v>
      </c>
      <c r="V293" s="252">
        <f t="shared" si="91"/>
        <v>-319779.90000000026</v>
      </c>
      <c r="W293" s="255">
        <f t="shared" si="92"/>
        <v>-291.00000000000023</v>
      </c>
      <c r="X293" s="256" t="str">
        <f t="shared" si="96"/>
        <v/>
      </c>
      <c r="Y293" s="256" t="str">
        <f t="shared" si="97"/>
        <v/>
      </c>
      <c r="Z293" s="224" t="str">
        <f>IF(IFERROR(INDEX('tuot-rehukirjanpito'!I:I,MATCH(A293,'tuot-rehukirjanpito'!G:G,0)),)=0,"",INDEX('tuot-rehukirjanpito'!I:I,MATCH(A293,'tuot-rehukirjanpito'!G:G,0)))</f>
        <v/>
      </c>
      <c r="AA293" s="224">
        <f>SUMIFS('tuot-INFO'!$K$10:$K$115,'tuot-INFO'!$A$10:$A$115,'tuot-PVÄ'!B293)</f>
        <v>65.5</v>
      </c>
      <c r="AB293" s="224">
        <f>SUMIFS('rehu-vesi-INFO'!$R:$R,'rehu-vesi-INFO'!$A:$A,'tuot-PVÄ'!B293)</f>
        <v>1711</v>
      </c>
      <c r="AC293" s="224">
        <f>SUMIFS('rehu-vesi-INFO'!$S:$S,'rehu-vesi-INFO'!$A:$A,'tuot-PVÄ'!B293)</f>
        <v>1817</v>
      </c>
      <c r="AD293" s="224">
        <f t="shared" si="82"/>
        <v>106</v>
      </c>
      <c r="AE293" s="224">
        <f t="shared" si="83"/>
        <v>0</v>
      </c>
      <c r="AF293" s="224">
        <f t="shared" si="84"/>
        <v>171.1</v>
      </c>
      <c r="AG293" s="224">
        <f t="shared" si="85"/>
        <v>10.6</v>
      </c>
      <c r="AH293" s="257">
        <f t="shared" si="87"/>
        <v>0</v>
      </c>
      <c r="AI293" s="258">
        <f t="shared" si="88"/>
        <v>0</v>
      </c>
      <c r="AJ293" s="55">
        <f>SUMIFS('tuot-INFO'!W:W,'tuot-INFO'!$A:$A,'tuot-PVÄ'!B293)</f>
        <v>83.513999999999996</v>
      </c>
      <c r="AK293" s="55">
        <f>SUMIFS('tuot-INFO'!X:X,'tuot-INFO'!$A:$A,'tuot-PVÄ'!B293)</f>
        <v>8.980000000000004</v>
      </c>
    </row>
    <row r="294" spans="1:37" x14ac:dyDescent="0.25">
      <c r="A294" s="169">
        <f t="shared" si="86"/>
        <v>42780</v>
      </c>
      <c r="B294" s="23">
        <f>ROUNDUP((A294-Yleistiedot!$B$4)/7,0)</f>
        <v>59</v>
      </c>
      <c r="C294" s="16"/>
      <c r="D294" s="25"/>
      <c r="E294" s="25"/>
      <c r="F294" s="25"/>
      <c r="G294" s="25"/>
      <c r="H294" s="25"/>
      <c r="I294" s="65">
        <f t="shared" si="81"/>
        <v>0</v>
      </c>
      <c r="J294" s="26"/>
      <c r="K294" s="25"/>
      <c r="L294" s="16"/>
      <c r="M294" s="16"/>
      <c r="N294" s="25"/>
      <c r="O294" s="30"/>
      <c r="P294" s="252">
        <f t="shared" si="93"/>
        <v>9990</v>
      </c>
      <c r="Q294" s="253">
        <f t="shared" si="94"/>
        <v>0</v>
      </c>
      <c r="R294" s="253">
        <f t="shared" si="95"/>
        <v>0</v>
      </c>
      <c r="S294" s="251">
        <f>SUMIFS('tuot-rehukirjanpito'!D:D,'tuot-rehukirjanpito'!A:A,A294)</f>
        <v>0</v>
      </c>
      <c r="T294" s="254">
        <f t="shared" si="89"/>
        <v>1098.9000000000001</v>
      </c>
      <c r="U294" s="254">
        <f t="shared" si="90"/>
        <v>1098.8999999999999</v>
      </c>
      <c r="V294" s="252">
        <f t="shared" si="91"/>
        <v>-320878.80000000028</v>
      </c>
      <c r="W294" s="255">
        <f t="shared" si="92"/>
        <v>-292.00000000000023</v>
      </c>
      <c r="X294" s="256" t="str">
        <f t="shared" si="96"/>
        <v/>
      </c>
      <c r="Y294" s="256" t="str">
        <f t="shared" si="97"/>
        <v/>
      </c>
      <c r="Z294" s="224" t="str">
        <f>IF(IFERROR(INDEX('tuot-rehukirjanpito'!I:I,MATCH(A294,'tuot-rehukirjanpito'!G:G,0)),)=0,"",INDEX('tuot-rehukirjanpito'!I:I,MATCH(A294,'tuot-rehukirjanpito'!G:G,0)))</f>
        <v/>
      </c>
      <c r="AA294" s="224">
        <f>SUMIFS('tuot-INFO'!$K$10:$K$115,'tuot-INFO'!$A$10:$A$115,'tuot-PVÄ'!B294)</f>
        <v>65.5</v>
      </c>
      <c r="AB294" s="224">
        <f>SUMIFS('rehu-vesi-INFO'!$R:$R,'rehu-vesi-INFO'!$A:$A,'tuot-PVÄ'!B294)</f>
        <v>1711</v>
      </c>
      <c r="AC294" s="224">
        <f>SUMIFS('rehu-vesi-INFO'!$S:$S,'rehu-vesi-INFO'!$A:$A,'tuot-PVÄ'!B294)</f>
        <v>1817</v>
      </c>
      <c r="AD294" s="224">
        <f t="shared" si="82"/>
        <v>106</v>
      </c>
      <c r="AE294" s="224">
        <f t="shared" si="83"/>
        <v>0</v>
      </c>
      <c r="AF294" s="224">
        <f t="shared" si="84"/>
        <v>171.1</v>
      </c>
      <c r="AG294" s="224">
        <f t="shared" si="85"/>
        <v>10.6</v>
      </c>
      <c r="AH294" s="257">
        <f t="shared" si="87"/>
        <v>0</v>
      </c>
      <c r="AI294" s="258">
        <f t="shared" si="88"/>
        <v>0</v>
      </c>
      <c r="AJ294" s="55">
        <f>SUMIFS('tuot-INFO'!W:W,'tuot-INFO'!$A:$A,'tuot-PVÄ'!B294)</f>
        <v>83.513999999999996</v>
      </c>
      <c r="AK294" s="55">
        <f>SUMIFS('tuot-INFO'!X:X,'tuot-INFO'!$A:$A,'tuot-PVÄ'!B294)</f>
        <v>8.980000000000004</v>
      </c>
    </row>
    <row r="295" spans="1:37" x14ac:dyDescent="0.25">
      <c r="A295" s="169">
        <f t="shared" si="86"/>
        <v>42781</v>
      </c>
      <c r="B295" s="23">
        <f>ROUNDUP((A295-Yleistiedot!$B$4)/7,0)</f>
        <v>59</v>
      </c>
      <c r="C295" s="16"/>
      <c r="D295" s="25"/>
      <c r="E295" s="25"/>
      <c r="F295" s="25"/>
      <c r="G295" s="25"/>
      <c r="H295" s="25"/>
      <c r="I295" s="65">
        <f t="shared" si="81"/>
        <v>0</v>
      </c>
      <c r="J295" s="26"/>
      <c r="K295" s="25"/>
      <c r="L295" s="16"/>
      <c r="M295" s="16"/>
      <c r="N295" s="25"/>
      <c r="O295" s="30"/>
      <c r="P295" s="252">
        <f t="shared" si="93"/>
        <v>9990</v>
      </c>
      <c r="Q295" s="253">
        <f t="shared" si="94"/>
        <v>0</v>
      </c>
      <c r="R295" s="253">
        <f t="shared" si="95"/>
        <v>0</v>
      </c>
      <c r="S295" s="251">
        <f>SUMIFS('tuot-rehukirjanpito'!D:D,'tuot-rehukirjanpito'!A:A,A295)</f>
        <v>0</v>
      </c>
      <c r="T295" s="254">
        <f t="shared" si="89"/>
        <v>1098.9000000000001</v>
      </c>
      <c r="U295" s="254">
        <f t="shared" si="90"/>
        <v>1098.8999999999999</v>
      </c>
      <c r="V295" s="252">
        <f t="shared" si="91"/>
        <v>-321977.7000000003</v>
      </c>
      <c r="W295" s="255">
        <f t="shared" si="92"/>
        <v>-293.00000000000023</v>
      </c>
      <c r="X295" s="256" t="str">
        <f t="shared" si="96"/>
        <v/>
      </c>
      <c r="Y295" s="256" t="str">
        <f t="shared" si="97"/>
        <v/>
      </c>
      <c r="Z295" s="224" t="str">
        <f>IF(IFERROR(INDEX('tuot-rehukirjanpito'!I:I,MATCH(A295,'tuot-rehukirjanpito'!G:G,0)),)=0,"",INDEX('tuot-rehukirjanpito'!I:I,MATCH(A295,'tuot-rehukirjanpito'!G:G,0)))</f>
        <v/>
      </c>
      <c r="AA295" s="224">
        <f>SUMIFS('tuot-INFO'!$K$10:$K$115,'tuot-INFO'!$A$10:$A$115,'tuot-PVÄ'!B295)</f>
        <v>65.5</v>
      </c>
      <c r="AB295" s="224">
        <f>SUMIFS('rehu-vesi-INFO'!$R:$R,'rehu-vesi-INFO'!$A:$A,'tuot-PVÄ'!B295)</f>
        <v>1711</v>
      </c>
      <c r="AC295" s="224">
        <f>SUMIFS('rehu-vesi-INFO'!$S:$S,'rehu-vesi-INFO'!$A:$A,'tuot-PVÄ'!B295)</f>
        <v>1817</v>
      </c>
      <c r="AD295" s="224">
        <f t="shared" si="82"/>
        <v>106</v>
      </c>
      <c r="AE295" s="224">
        <f t="shared" si="83"/>
        <v>0</v>
      </c>
      <c r="AF295" s="224">
        <f t="shared" si="84"/>
        <v>171.1</v>
      </c>
      <c r="AG295" s="224">
        <f t="shared" si="85"/>
        <v>10.6</v>
      </c>
      <c r="AH295" s="257">
        <f t="shared" si="87"/>
        <v>0</v>
      </c>
      <c r="AI295" s="258">
        <f t="shared" si="88"/>
        <v>0</v>
      </c>
      <c r="AJ295" s="55">
        <f>SUMIFS('tuot-INFO'!W:W,'tuot-INFO'!$A:$A,'tuot-PVÄ'!B295)</f>
        <v>83.513999999999996</v>
      </c>
      <c r="AK295" s="55">
        <f>SUMIFS('tuot-INFO'!X:X,'tuot-INFO'!$A:$A,'tuot-PVÄ'!B295)</f>
        <v>8.980000000000004</v>
      </c>
    </row>
    <row r="296" spans="1:37" x14ac:dyDescent="0.25">
      <c r="A296" s="169">
        <f t="shared" si="86"/>
        <v>42782</v>
      </c>
      <c r="B296" s="23">
        <f>ROUNDUP((A296-Yleistiedot!$B$4)/7,0)</f>
        <v>59</v>
      </c>
      <c r="C296" s="16"/>
      <c r="D296" s="25"/>
      <c r="E296" s="25"/>
      <c r="F296" s="25"/>
      <c r="G296" s="25"/>
      <c r="H296" s="25"/>
      <c r="I296" s="65">
        <f t="shared" si="81"/>
        <v>0</v>
      </c>
      <c r="J296" s="26"/>
      <c r="K296" s="25"/>
      <c r="L296" s="16"/>
      <c r="M296" s="16"/>
      <c r="N296" s="25"/>
      <c r="O296" s="30"/>
      <c r="P296" s="252">
        <f t="shared" si="93"/>
        <v>9990</v>
      </c>
      <c r="Q296" s="253">
        <f t="shared" si="94"/>
        <v>0</v>
      </c>
      <c r="R296" s="253">
        <f t="shared" si="95"/>
        <v>0</v>
      </c>
      <c r="S296" s="251">
        <f>SUMIFS('tuot-rehukirjanpito'!D:D,'tuot-rehukirjanpito'!A:A,A296)</f>
        <v>0</v>
      </c>
      <c r="T296" s="254">
        <f t="shared" si="89"/>
        <v>1098.9000000000001</v>
      </c>
      <c r="U296" s="254">
        <f t="shared" si="90"/>
        <v>1098.8999999999999</v>
      </c>
      <c r="V296" s="252">
        <f t="shared" si="91"/>
        <v>-323076.60000000033</v>
      </c>
      <c r="W296" s="255">
        <f t="shared" si="92"/>
        <v>-294.00000000000028</v>
      </c>
      <c r="X296" s="256" t="str">
        <f t="shared" si="96"/>
        <v/>
      </c>
      <c r="Y296" s="256" t="str">
        <f t="shared" si="97"/>
        <v/>
      </c>
      <c r="Z296" s="224" t="str">
        <f>IF(IFERROR(INDEX('tuot-rehukirjanpito'!I:I,MATCH(A296,'tuot-rehukirjanpito'!G:G,0)),)=0,"",INDEX('tuot-rehukirjanpito'!I:I,MATCH(A296,'tuot-rehukirjanpito'!G:G,0)))</f>
        <v/>
      </c>
      <c r="AA296" s="224">
        <f>SUMIFS('tuot-INFO'!$K$10:$K$115,'tuot-INFO'!$A$10:$A$115,'tuot-PVÄ'!B296)</f>
        <v>65.5</v>
      </c>
      <c r="AB296" s="224">
        <f>SUMIFS('rehu-vesi-INFO'!$R:$R,'rehu-vesi-INFO'!$A:$A,'tuot-PVÄ'!B296)</f>
        <v>1711</v>
      </c>
      <c r="AC296" s="224">
        <f>SUMIFS('rehu-vesi-INFO'!$S:$S,'rehu-vesi-INFO'!$A:$A,'tuot-PVÄ'!B296)</f>
        <v>1817</v>
      </c>
      <c r="AD296" s="224">
        <f t="shared" si="82"/>
        <v>106</v>
      </c>
      <c r="AE296" s="224">
        <f t="shared" si="83"/>
        <v>0</v>
      </c>
      <c r="AF296" s="224">
        <f t="shared" si="84"/>
        <v>171.1</v>
      </c>
      <c r="AG296" s="224">
        <f t="shared" si="85"/>
        <v>10.6</v>
      </c>
      <c r="AH296" s="257">
        <f t="shared" si="87"/>
        <v>0</v>
      </c>
      <c r="AI296" s="258">
        <f t="shared" si="88"/>
        <v>0</v>
      </c>
      <c r="AJ296" s="55">
        <f>SUMIFS('tuot-INFO'!W:W,'tuot-INFO'!$A:$A,'tuot-PVÄ'!B296)</f>
        <v>83.513999999999996</v>
      </c>
      <c r="AK296" s="55">
        <f>SUMIFS('tuot-INFO'!X:X,'tuot-INFO'!$A:$A,'tuot-PVÄ'!B296)</f>
        <v>8.980000000000004</v>
      </c>
    </row>
    <row r="297" spans="1:37" x14ac:dyDescent="0.25">
      <c r="A297" s="169">
        <f t="shared" si="86"/>
        <v>42783</v>
      </c>
      <c r="B297" s="23">
        <f>ROUNDUP((A297-Yleistiedot!$B$4)/7,0)</f>
        <v>59</v>
      </c>
      <c r="C297" s="16"/>
      <c r="D297" s="25"/>
      <c r="E297" s="25"/>
      <c r="F297" s="25"/>
      <c r="G297" s="25"/>
      <c r="H297" s="25"/>
      <c r="I297" s="65">
        <f t="shared" si="81"/>
        <v>0</v>
      </c>
      <c r="J297" s="26"/>
      <c r="K297" s="25"/>
      <c r="L297" s="16"/>
      <c r="M297" s="16"/>
      <c r="N297" s="25"/>
      <c r="O297" s="30"/>
      <c r="P297" s="252">
        <f t="shared" si="93"/>
        <v>9990</v>
      </c>
      <c r="Q297" s="253">
        <f t="shared" si="94"/>
        <v>0</v>
      </c>
      <c r="R297" s="253">
        <f t="shared" si="95"/>
        <v>0</v>
      </c>
      <c r="S297" s="251">
        <f>SUMIFS('tuot-rehukirjanpito'!D:D,'tuot-rehukirjanpito'!A:A,A297)</f>
        <v>0</v>
      </c>
      <c r="T297" s="254">
        <f t="shared" si="89"/>
        <v>1098.9000000000001</v>
      </c>
      <c r="U297" s="254">
        <f t="shared" si="90"/>
        <v>1098.8999999999999</v>
      </c>
      <c r="V297" s="252">
        <f t="shared" si="91"/>
        <v>-324175.50000000035</v>
      </c>
      <c r="W297" s="255">
        <f t="shared" si="92"/>
        <v>-295.00000000000028</v>
      </c>
      <c r="X297" s="256" t="str">
        <f t="shared" si="96"/>
        <v/>
      </c>
      <c r="Y297" s="256" t="str">
        <f t="shared" si="97"/>
        <v/>
      </c>
      <c r="Z297" s="224" t="str">
        <f>IF(IFERROR(INDEX('tuot-rehukirjanpito'!I:I,MATCH(A297,'tuot-rehukirjanpito'!G:G,0)),)=0,"",INDEX('tuot-rehukirjanpito'!I:I,MATCH(A297,'tuot-rehukirjanpito'!G:G,0)))</f>
        <v/>
      </c>
      <c r="AA297" s="224">
        <f>SUMIFS('tuot-INFO'!$K$10:$K$115,'tuot-INFO'!$A$10:$A$115,'tuot-PVÄ'!B297)</f>
        <v>65.5</v>
      </c>
      <c r="AB297" s="224">
        <f>SUMIFS('rehu-vesi-INFO'!$R:$R,'rehu-vesi-INFO'!$A:$A,'tuot-PVÄ'!B297)</f>
        <v>1711</v>
      </c>
      <c r="AC297" s="224">
        <f>SUMIFS('rehu-vesi-INFO'!$S:$S,'rehu-vesi-INFO'!$A:$A,'tuot-PVÄ'!B297)</f>
        <v>1817</v>
      </c>
      <c r="AD297" s="224">
        <f t="shared" si="82"/>
        <v>106</v>
      </c>
      <c r="AE297" s="224">
        <f t="shared" si="83"/>
        <v>0</v>
      </c>
      <c r="AF297" s="224">
        <f t="shared" si="84"/>
        <v>171.1</v>
      </c>
      <c r="AG297" s="224">
        <f t="shared" si="85"/>
        <v>10.6</v>
      </c>
      <c r="AH297" s="257">
        <f t="shared" si="87"/>
        <v>0</v>
      </c>
      <c r="AI297" s="258">
        <f t="shared" si="88"/>
        <v>0</v>
      </c>
      <c r="AJ297" s="55">
        <f>SUMIFS('tuot-INFO'!W:W,'tuot-INFO'!$A:$A,'tuot-PVÄ'!B297)</f>
        <v>83.513999999999996</v>
      </c>
      <c r="AK297" s="55">
        <f>SUMIFS('tuot-INFO'!X:X,'tuot-INFO'!$A:$A,'tuot-PVÄ'!B297)</f>
        <v>8.980000000000004</v>
      </c>
    </row>
    <row r="298" spans="1:37" x14ac:dyDescent="0.25">
      <c r="A298" s="169">
        <f t="shared" si="86"/>
        <v>42784</v>
      </c>
      <c r="B298" s="23">
        <f>ROUNDUP((A298-Yleistiedot!$B$4)/7,0)</f>
        <v>60</v>
      </c>
      <c r="C298" s="16"/>
      <c r="D298" s="25"/>
      <c r="E298" s="25"/>
      <c r="F298" s="25"/>
      <c r="G298" s="25"/>
      <c r="H298" s="25"/>
      <c r="I298" s="65">
        <f t="shared" si="81"/>
        <v>0</v>
      </c>
      <c r="J298" s="26"/>
      <c r="K298" s="25"/>
      <c r="L298" s="16"/>
      <c r="M298" s="16"/>
      <c r="N298" s="25"/>
      <c r="O298" s="30"/>
      <c r="P298" s="252">
        <f t="shared" si="93"/>
        <v>9990</v>
      </c>
      <c r="Q298" s="253">
        <f t="shared" si="94"/>
        <v>0</v>
      </c>
      <c r="R298" s="253">
        <f t="shared" si="95"/>
        <v>0</v>
      </c>
      <c r="S298" s="251">
        <f>SUMIFS('tuot-rehukirjanpito'!D:D,'tuot-rehukirjanpito'!A:A,A298)</f>
        <v>0</v>
      </c>
      <c r="T298" s="254">
        <f t="shared" si="89"/>
        <v>1098.9000000000001</v>
      </c>
      <c r="U298" s="254">
        <f t="shared" si="90"/>
        <v>1098.8999999999999</v>
      </c>
      <c r="V298" s="252">
        <f t="shared" si="91"/>
        <v>-325274.40000000037</v>
      </c>
      <c r="W298" s="255">
        <f t="shared" si="92"/>
        <v>-296.00000000000034</v>
      </c>
      <c r="X298" s="256" t="str">
        <f t="shared" si="96"/>
        <v/>
      </c>
      <c r="Y298" s="256" t="str">
        <f t="shared" si="97"/>
        <v/>
      </c>
      <c r="Z298" s="224" t="str">
        <f>IF(IFERROR(INDEX('tuot-rehukirjanpito'!I:I,MATCH(A298,'tuot-rehukirjanpito'!G:G,0)),)=0,"",INDEX('tuot-rehukirjanpito'!I:I,MATCH(A298,'tuot-rehukirjanpito'!G:G,0)))</f>
        <v/>
      </c>
      <c r="AA298" s="224">
        <f>SUMIFS('tuot-INFO'!$K$10:$K$115,'tuot-INFO'!$A$10:$A$115,'tuot-PVÄ'!B298)</f>
        <v>65.5</v>
      </c>
      <c r="AB298" s="224">
        <f>SUMIFS('rehu-vesi-INFO'!$R:$R,'rehu-vesi-INFO'!$A:$A,'tuot-PVÄ'!B298)</f>
        <v>1712</v>
      </c>
      <c r="AC298" s="224">
        <f>SUMIFS('rehu-vesi-INFO'!$S:$S,'rehu-vesi-INFO'!$A:$A,'tuot-PVÄ'!B298)</f>
        <v>1818</v>
      </c>
      <c r="AD298" s="224">
        <f t="shared" si="82"/>
        <v>106</v>
      </c>
      <c r="AE298" s="224">
        <f t="shared" si="83"/>
        <v>0</v>
      </c>
      <c r="AF298" s="224">
        <f t="shared" si="84"/>
        <v>171.2</v>
      </c>
      <c r="AG298" s="224">
        <f t="shared" si="85"/>
        <v>10.6</v>
      </c>
      <c r="AH298" s="257">
        <f t="shared" si="87"/>
        <v>0</v>
      </c>
      <c r="AI298" s="258">
        <f t="shared" si="88"/>
        <v>0</v>
      </c>
      <c r="AJ298" s="55">
        <f>SUMIFS('tuot-INFO'!W:W,'tuot-INFO'!$A:$A,'tuot-PVÄ'!B298)</f>
        <v>83.048999999999992</v>
      </c>
      <c r="AK298" s="55">
        <f>SUMIFS('tuot-INFO'!X:X,'tuot-INFO'!$A:$A,'tuot-PVÄ'!B298)</f>
        <v>8.9300000000000068</v>
      </c>
    </row>
    <row r="299" spans="1:37" x14ac:dyDescent="0.25">
      <c r="A299" s="169">
        <f t="shared" si="86"/>
        <v>42785</v>
      </c>
      <c r="B299" s="23">
        <f>ROUNDUP((A299-Yleistiedot!$B$4)/7,0)</f>
        <v>60</v>
      </c>
      <c r="C299" s="16"/>
      <c r="D299" s="25"/>
      <c r="E299" s="25"/>
      <c r="F299" s="25"/>
      <c r="G299" s="25"/>
      <c r="H299" s="25"/>
      <c r="I299" s="65">
        <f t="shared" si="81"/>
        <v>0</v>
      </c>
      <c r="J299" s="26"/>
      <c r="K299" s="25"/>
      <c r="L299" s="16"/>
      <c r="M299" s="16"/>
      <c r="N299" s="25"/>
      <c r="O299" s="30"/>
      <c r="P299" s="252">
        <f t="shared" si="93"/>
        <v>9990</v>
      </c>
      <c r="Q299" s="253">
        <f t="shared" si="94"/>
        <v>0</v>
      </c>
      <c r="R299" s="253">
        <f t="shared" si="95"/>
        <v>0</v>
      </c>
      <c r="S299" s="251">
        <f>SUMIFS('tuot-rehukirjanpito'!D:D,'tuot-rehukirjanpito'!A:A,A299)</f>
        <v>0</v>
      </c>
      <c r="T299" s="254">
        <f t="shared" si="89"/>
        <v>1098.9000000000001</v>
      </c>
      <c r="U299" s="254">
        <f t="shared" si="90"/>
        <v>1098.8999999999999</v>
      </c>
      <c r="V299" s="252">
        <f t="shared" si="91"/>
        <v>-326373.3000000004</v>
      </c>
      <c r="W299" s="255">
        <f t="shared" si="92"/>
        <v>-297.00000000000034</v>
      </c>
      <c r="X299" s="256" t="str">
        <f t="shared" si="96"/>
        <v/>
      </c>
      <c r="Y299" s="256" t="str">
        <f t="shared" si="97"/>
        <v/>
      </c>
      <c r="Z299" s="224" t="str">
        <f>IF(IFERROR(INDEX('tuot-rehukirjanpito'!I:I,MATCH(A299,'tuot-rehukirjanpito'!G:G,0)),)=0,"",INDEX('tuot-rehukirjanpito'!I:I,MATCH(A299,'tuot-rehukirjanpito'!G:G,0)))</f>
        <v/>
      </c>
      <c r="AA299" s="224">
        <f>SUMIFS('tuot-INFO'!$K$10:$K$115,'tuot-INFO'!$A$10:$A$115,'tuot-PVÄ'!B299)</f>
        <v>65.5</v>
      </c>
      <c r="AB299" s="224">
        <f>SUMIFS('rehu-vesi-INFO'!$R:$R,'rehu-vesi-INFO'!$A:$A,'tuot-PVÄ'!B299)</f>
        <v>1712</v>
      </c>
      <c r="AC299" s="224">
        <f>SUMIFS('rehu-vesi-INFO'!$S:$S,'rehu-vesi-INFO'!$A:$A,'tuot-PVÄ'!B299)</f>
        <v>1818</v>
      </c>
      <c r="AD299" s="224">
        <f t="shared" si="82"/>
        <v>106</v>
      </c>
      <c r="AE299" s="224">
        <f t="shared" si="83"/>
        <v>0</v>
      </c>
      <c r="AF299" s="224">
        <f t="shared" si="84"/>
        <v>171.2</v>
      </c>
      <c r="AG299" s="224">
        <f t="shared" si="85"/>
        <v>10.6</v>
      </c>
      <c r="AH299" s="257">
        <f t="shared" si="87"/>
        <v>0</v>
      </c>
      <c r="AI299" s="258">
        <f t="shared" si="88"/>
        <v>0</v>
      </c>
      <c r="AJ299" s="55">
        <f>SUMIFS('tuot-INFO'!W:W,'tuot-INFO'!$A:$A,'tuot-PVÄ'!B299)</f>
        <v>83.048999999999992</v>
      </c>
      <c r="AK299" s="55">
        <f>SUMIFS('tuot-INFO'!X:X,'tuot-INFO'!$A:$A,'tuot-PVÄ'!B299)</f>
        <v>8.9300000000000068</v>
      </c>
    </row>
    <row r="300" spans="1:37" x14ac:dyDescent="0.25">
      <c r="A300" s="169">
        <f t="shared" si="86"/>
        <v>42786</v>
      </c>
      <c r="B300" s="23">
        <f>ROUNDUP((A300-Yleistiedot!$B$4)/7,0)</f>
        <v>60</v>
      </c>
      <c r="C300" s="16"/>
      <c r="D300" s="25"/>
      <c r="E300" s="25"/>
      <c r="F300" s="25"/>
      <c r="G300" s="25"/>
      <c r="H300" s="25"/>
      <c r="I300" s="65">
        <f t="shared" si="81"/>
        <v>0</v>
      </c>
      <c r="J300" s="26"/>
      <c r="K300" s="25"/>
      <c r="L300" s="16"/>
      <c r="M300" s="16"/>
      <c r="N300" s="25"/>
      <c r="O300" s="30"/>
      <c r="P300" s="252">
        <f t="shared" si="93"/>
        <v>9990</v>
      </c>
      <c r="Q300" s="253">
        <f t="shared" si="94"/>
        <v>0</v>
      </c>
      <c r="R300" s="253">
        <f t="shared" si="95"/>
        <v>0</v>
      </c>
      <c r="S300" s="251">
        <f>SUMIFS('tuot-rehukirjanpito'!D:D,'tuot-rehukirjanpito'!A:A,A300)</f>
        <v>0</v>
      </c>
      <c r="T300" s="254">
        <f t="shared" si="89"/>
        <v>1098.9000000000001</v>
      </c>
      <c r="U300" s="254">
        <f t="shared" si="90"/>
        <v>1098.8999999999999</v>
      </c>
      <c r="V300" s="252">
        <f t="shared" si="91"/>
        <v>-327472.20000000042</v>
      </c>
      <c r="W300" s="255">
        <f t="shared" si="92"/>
        <v>-298.00000000000034</v>
      </c>
      <c r="X300" s="256" t="str">
        <f t="shared" si="96"/>
        <v/>
      </c>
      <c r="Y300" s="256" t="str">
        <f t="shared" si="97"/>
        <v/>
      </c>
      <c r="Z300" s="224" t="str">
        <f>IF(IFERROR(INDEX('tuot-rehukirjanpito'!I:I,MATCH(A300,'tuot-rehukirjanpito'!G:G,0)),)=0,"",INDEX('tuot-rehukirjanpito'!I:I,MATCH(A300,'tuot-rehukirjanpito'!G:G,0)))</f>
        <v/>
      </c>
      <c r="AA300" s="224">
        <f>SUMIFS('tuot-INFO'!$K$10:$K$115,'tuot-INFO'!$A$10:$A$115,'tuot-PVÄ'!B300)</f>
        <v>65.5</v>
      </c>
      <c r="AB300" s="224">
        <f>SUMIFS('rehu-vesi-INFO'!$R:$R,'rehu-vesi-INFO'!$A:$A,'tuot-PVÄ'!B300)</f>
        <v>1712</v>
      </c>
      <c r="AC300" s="224">
        <f>SUMIFS('rehu-vesi-INFO'!$S:$S,'rehu-vesi-INFO'!$A:$A,'tuot-PVÄ'!B300)</f>
        <v>1818</v>
      </c>
      <c r="AD300" s="224">
        <f t="shared" si="82"/>
        <v>106</v>
      </c>
      <c r="AE300" s="224">
        <f t="shared" si="83"/>
        <v>0</v>
      </c>
      <c r="AF300" s="224">
        <f t="shared" si="84"/>
        <v>171.2</v>
      </c>
      <c r="AG300" s="224">
        <f t="shared" si="85"/>
        <v>10.6</v>
      </c>
      <c r="AH300" s="257">
        <f t="shared" si="87"/>
        <v>0</v>
      </c>
      <c r="AI300" s="258">
        <f t="shared" si="88"/>
        <v>0</v>
      </c>
      <c r="AJ300" s="55">
        <f>SUMIFS('tuot-INFO'!W:W,'tuot-INFO'!$A:$A,'tuot-PVÄ'!B300)</f>
        <v>83.048999999999992</v>
      </c>
      <c r="AK300" s="55">
        <f>SUMIFS('tuot-INFO'!X:X,'tuot-INFO'!$A:$A,'tuot-PVÄ'!B300)</f>
        <v>8.9300000000000068</v>
      </c>
    </row>
    <row r="301" spans="1:37" x14ac:dyDescent="0.25">
      <c r="A301" s="169">
        <f t="shared" si="86"/>
        <v>42787</v>
      </c>
      <c r="B301" s="23">
        <f>ROUNDUP((A301-Yleistiedot!$B$4)/7,0)</f>
        <v>60</v>
      </c>
      <c r="C301" s="16"/>
      <c r="D301" s="25"/>
      <c r="E301" s="25"/>
      <c r="F301" s="25"/>
      <c r="G301" s="25"/>
      <c r="H301" s="25"/>
      <c r="I301" s="65">
        <f t="shared" si="81"/>
        <v>0</v>
      </c>
      <c r="J301" s="26"/>
      <c r="K301" s="25"/>
      <c r="L301" s="16"/>
      <c r="M301" s="16"/>
      <c r="N301" s="25"/>
      <c r="O301" s="30"/>
      <c r="P301" s="252">
        <f t="shared" si="93"/>
        <v>9990</v>
      </c>
      <c r="Q301" s="253">
        <f t="shared" si="94"/>
        <v>0</v>
      </c>
      <c r="R301" s="253">
        <f t="shared" si="95"/>
        <v>0</v>
      </c>
      <c r="S301" s="251">
        <f>SUMIFS('tuot-rehukirjanpito'!D:D,'tuot-rehukirjanpito'!A:A,A301)</f>
        <v>0</v>
      </c>
      <c r="T301" s="254">
        <f t="shared" si="89"/>
        <v>1098.9000000000001</v>
      </c>
      <c r="U301" s="254">
        <f t="shared" si="90"/>
        <v>1098.8999999999999</v>
      </c>
      <c r="V301" s="252">
        <f t="shared" si="91"/>
        <v>-328571.10000000044</v>
      </c>
      <c r="W301" s="255">
        <f t="shared" si="92"/>
        <v>-299.0000000000004</v>
      </c>
      <c r="X301" s="256" t="str">
        <f t="shared" si="96"/>
        <v/>
      </c>
      <c r="Y301" s="256" t="str">
        <f t="shared" si="97"/>
        <v/>
      </c>
      <c r="Z301" s="224" t="str">
        <f>IF(IFERROR(INDEX('tuot-rehukirjanpito'!I:I,MATCH(A301,'tuot-rehukirjanpito'!G:G,0)),)=0,"",INDEX('tuot-rehukirjanpito'!I:I,MATCH(A301,'tuot-rehukirjanpito'!G:G,0)))</f>
        <v/>
      </c>
      <c r="AA301" s="224">
        <f>SUMIFS('tuot-INFO'!$K$10:$K$115,'tuot-INFO'!$A$10:$A$115,'tuot-PVÄ'!B301)</f>
        <v>65.5</v>
      </c>
      <c r="AB301" s="224">
        <f>SUMIFS('rehu-vesi-INFO'!$R:$R,'rehu-vesi-INFO'!$A:$A,'tuot-PVÄ'!B301)</f>
        <v>1712</v>
      </c>
      <c r="AC301" s="224">
        <f>SUMIFS('rehu-vesi-INFO'!$S:$S,'rehu-vesi-INFO'!$A:$A,'tuot-PVÄ'!B301)</f>
        <v>1818</v>
      </c>
      <c r="AD301" s="224">
        <f t="shared" si="82"/>
        <v>106</v>
      </c>
      <c r="AE301" s="224">
        <f t="shared" si="83"/>
        <v>0</v>
      </c>
      <c r="AF301" s="224">
        <f t="shared" si="84"/>
        <v>171.2</v>
      </c>
      <c r="AG301" s="224">
        <f t="shared" si="85"/>
        <v>10.6</v>
      </c>
      <c r="AH301" s="257">
        <f t="shared" si="87"/>
        <v>0</v>
      </c>
      <c r="AI301" s="258">
        <f t="shared" si="88"/>
        <v>0</v>
      </c>
      <c r="AJ301" s="55">
        <f>SUMIFS('tuot-INFO'!W:W,'tuot-INFO'!$A:$A,'tuot-PVÄ'!B301)</f>
        <v>83.048999999999992</v>
      </c>
      <c r="AK301" s="55">
        <f>SUMIFS('tuot-INFO'!X:X,'tuot-INFO'!$A:$A,'tuot-PVÄ'!B301)</f>
        <v>8.9300000000000068</v>
      </c>
    </row>
    <row r="302" spans="1:37" x14ac:dyDescent="0.25">
      <c r="A302" s="169">
        <f t="shared" si="86"/>
        <v>42788</v>
      </c>
      <c r="B302" s="23">
        <f>ROUNDUP((A302-Yleistiedot!$B$4)/7,0)</f>
        <v>60</v>
      </c>
      <c r="C302" s="16"/>
      <c r="D302" s="25"/>
      <c r="E302" s="25"/>
      <c r="F302" s="25"/>
      <c r="G302" s="25"/>
      <c r="H302" s="25"/>
      <c r="I302" s="65">
        <f t="shared" si="81"/>
        <v>0</v>
      </c>
      <c r="J302" s="26"/>
      <c r="K302" s="25"/>
      <c r="L302" s="16"/>
      <c r="M302" s="16"/>
      <c r="N302" s="25"/>
      <c r="O302" s="30"/>
      <c r="P302" s="252">
        <f t="shared" si="93"/>
        <v>9990</v>
      </c>
      <c r="Q302" s="253">
        <f t="shared" si="94"/>
        <v>0</v>
      </c>
      <c r="R302" s="253">
        <f t="shared" si="95"/>
        <v>0</v>
      </c>
      <c r="S302" s="251">
        <f>SUMIFS('tuot-rehukirjanpito'!D:D,'tuot-rehukirjanpito'!A:A,A302)</f>
        <v>0</v>
      </c>
      <c r="T302" s="254">
        <f t="shared" si="89"/>
        <v>1098.9000000000001</v>
      </c>
      <c r="U302" s="254">
        <f t="shared" si="90"/>
        <v>1098.8999999999999</v>
      </c>
      <c r="V302" s="252">
        <f t="shared" si="91"/>
        <v>-329670.00000000047</v>
      </c>
      <c r="W302" s="255">
        <f t="shared" si="92"/>
        <v>-300.0000000000004</v>
      </c>
      <c r="X302" s="256" t="str">
        <f t="shared" si="96"/>
        <v/>
      </c>
      <c r="Y302" s="256" t="str">
        <f t="shared" si="97"/>
        <v/>
      </c>
      <c r="Z302" s="224" t="str">
        <f>IF(IFERROR(INDEX('tuot-rehukirjanpito'!I:I,MATCH(A302,'tuot-rehukirjanpito'!G:G,0)),)=0,"",INDEX('tuot-rehukirjanpito'!I:I,MATCH(A302,'tuot-rehukirjanpito'!G:G,0)))</f>
        <v/>
      </c>
      <c r="AA302" s="224">
        <f>SUMIFS('tuot-INFO'!$K$10:$K$115,'tuot-INFO'!$A$10:$A$115,'tuot-PVÄ'!B302)</f>
        <v>65.5</v>
      </c>
      <c r="AB302" s="224">
        <f>SUMIFS('rehu-vesi-INFO'!$R:$R,'rehu-vesi-INFO'!$A:$A,'tuot-PVÄ'!B302)</f>
        <v>1712</v>
      </c>
      <c r="AC302" s="224">
        <f>SUMIFS('rehu-vesi-INFO'!$S:$S,'rehu-vesi-INFO'!$A:$A,'tuot-PVÄ'!B302)</f>
        <v>1818</v>
      </c>
      <c r="AD302" s="224">
        <f t="shared" si="82"/>
        <v>106</v>
      </c>
      <c r="AE302" s="224">
        <f t="shared" si="83"/>
        <v>0</v>
      </c>
      <c r="AF302" s="224">
        <f t="shared" si="84"/>
        <v>171.2</v>
      </c>
      <c r="AG302" s="224">
        <f t="shared" si="85"/>
        <v>10.6</v>
      </c>
      <c r="AH302" s="257">
        <f t="shared" si="87"/>
        <v>0</v>
      </c>
      <c r="AI302" s="258">
        <f t="shared" si="88"/>
        <v>0</v>
      </c>
      <c r="AJ302" s="55">
        <f>SUMIFS('tuot-INFO'!W:W,'tuot-INFO'!$A:$A,'tuot-PVÄ'!B302)</f>
        <v>83.048999999999992</v>
      </c>
      <c r="AK302" s="55">
        <f>SUMIFS('tuot-INFO'!X:X,'tuot-INFO'!$A:$A,'tuot-PVÄ'!B302)</f>
        <v>8.9300000000000068</v>
      </c>
    </row>
    <row r="303" spans="1:37" x14ac:dyDescent="0.25">
      <c r="A303" s="169">
        <f t="shared" si="86"/>
        <v>42789</v>
      </c>
      <c r="B303" s="23">
        <f>ROUNDUP((A303-Yleistiedot!$B$4)/7,0)</f>
        <v>60</v>
      </c>
      <c r="C303" s="16"/>
      <c r="D303" s="25"/>
      <c r="E303" s="25"/>
      <c r="F303" s="25"/>
      <c r="G303" s="25"/>
      <c r="H303" s="25"/>
      <c r="I303" s="65">
        <f t="shared" si="81"/>
        <v>0</v>
      </c>
      <c r="J303" s="26"/>
      <c r="K303" s="25"/>
      <c r="L303" s="16"/>
      <c r="M303" s="16"/>
      <c r="N303" s="25"/>
      <c r="O303" s="30"/>
      <c r="P303" s="252">
        <f t="shared" si="93"/>
        <v>9990</v>
      </c>
      <c r="Q303" s="253">
        <f t="shared" si="94"/>
        <v>0</v>
      </c>
      <c r="R303" s="253">
        <f t="shared" si="95"/>
        <v>0</v>
      </c>
      <c r="S303" s="251">
        <f>SUMIFS('tuot-rehukirjanpito'!D:D,'tuot-rehukirjanpito'!A:A,A303)</f>
        <v>0</v>
      </c>
      <c r="T303" s="254">
        <f t="shared" si="89"/>
        <v>1098.9000000000001</v>
      </c>
      <c r="U303" s="254">
        <f t="shared" si="90"/>
        <v>1098.8999999999999</v>
      </c>
      <c r="V303" s="252">
        <f t="shared" si="91"/>
        <v>-330768.90000000049</v>
      </c>
      <c r="W303" s="255">
        <f t="shared" si="92"/>
        <v>-301.0000000000004</v>
      </c>
      <c r="X303" s="256" t="str">
        <f t="shared" si="96"/>
        <v/>
      </c>
      <c r="Y303" s="256" t="str">
        <f t="shared" si="97"/>
        <v/>
      </c>
      <c r="Z303" s="224" t="str">
        <f>IF(IFERROR(INDEX('tuot-rehukirjanpito'!I:I,MATCH(A303,'tuot-rehukirjanpito'!G:G,0)),)=0,"",INDEX('tuot-rehukirjanpito'!I:I,MATCH(A303,'tuot-rehukirjanpito'!G:G,0)))</f>
        <v/>
      </c>
      <c r="AA303" s="224">
        <f>SUMIFS('tuot-INFO'!$K$10:$K$115,'tuot-INFO'!$A$10:$A$115,'tuot-PVÄ'!B303)</f>
        <v>65.5</v>
      </c>
      <c r="AB303" s="224">
        <f>SUMIFS('rehu-vesi-INFO'!$R:$R,'rehu-vesi-INFO'!$A:$A,'tuot-PVÄ'!B303)</f>
        <v>1712</v>
      </c>
      <c r="AC303" s="224">
        <f>SUMIFS('rehu-vesi-INFO'!$S:$S,'rehu-vesi-INFO'!$A:$A,'tuot-PVÄ'!B303)</f>
        <v>1818</v>
      </c>
      <c r="AD303" s="224">
        <f t="shared" si="82"/>
        <v>106</v>
      </c>
      <c r="AE303" s="224">
        <f t="shared" si="83"/>
        <v>0</v>
      </c>
      <c r="AF303" s="224">
        <f t="shared" si="84"/>
        <v>171.2</v>
      </c>
      <c r="AG303" s="224">
        <f t="shared" si="85"/>
        <v>10.6</v>
      </c>
      <c r="AH303" s="257">
        <f t="shared" si="87"/>
        <v>0</v>
      </c>
      <c r="AI303" s="258">
        <f t="shared" si="88"/>
        <v>0</v>
      </c>
      <c r="AJ303" s="55">
        <f>SUMIFS('tuot-INFO'!W:W,'tuot-INFO'!$A:$A,'tuot-PVÄ'!B303)</f>
        <v>83.048999999999992</v>
      </c>
      <c r="AK303" s="55">
        <f>SUMIFS('tuot-INFO'!X:X,'tuot-INFO'!$A:$A,'tuot-PVÄ'!B303)</f>
        <v>8.9300000000000068</v>
      </c>
    </row>
    <row r="304" spans="1:37" x14ac:dyDescent="0.25">
      <c r="A304" s="169">
        <f t="shared" si="86"/>
        <v>42790</v>
      </c>
      <c r="B304" s="23">
        <f>ROUNDUP((A304-Yleistiedot!$B$4)/7,0)</f>
        <v>60</v>
      </c>
      <c r="C304" s="16"/>
      <c r="D304" s="25"/>
      <c r="E304" s="25"/>
      <c r="F304" s="25"/>
      <c r="G304" s="25"/>
      <c r="H304" s="25"/>
      <c r="I304" s="65">
        <f t="shared" si="81"/>
        <v>0</v>
      </c>
      <c r="J304" s="26"/>
      <c r="K304" s="25"/>
      <c r="L304" s="16"/>
      <c r="M304" s="16"/>
      <c r="N304" s="25"/>
      <c r="O304" s="30"/>
      <c r="P304" s="252">
        <f t="shared" si="93"/>
        <v>9990</v>
      </c>
      <c r="Q304" s="253">
        <f t="shared" si="94"/>
        <v>0</v>
      </c>
      <c r="R304" s="253">
        <f t="shared" si="95"/>
        <v>0</v>
      </c>
      <c r="S304" s="251">
        <f>SUMIFS('tuot-rehukirjanpito'!D:D,'tuot-rehukirjanpito'!A:A,A304)</f>
        <v>0</v>
      </c>
      <c r="T304" s="254">
        <f t="shared" si="89"/>
        <v>1098.9000000000001</v>
      </c>
      <c r="U304" s="254">
        <f t="shared" si="90"/>
        <v>1098.8999999999999</v>
      </c>
      <c r="V304" s="252">
        <f t="shared" si="91"/>
        <v>-331867.80000000051</v>
      </c>
      <c r="W304" s="255">
        <f t="shared" si="92"/>
        <v>-302.00000000000045</v>
      </c>
      <c r="X304" s="256" t="str">
        <f t="shared" si="96"/>
        <v/>
      </c>
      <c r="Y304" s="256" t="str">
        <f t="shared" si="97"/>
        <v/>
      </c>
      <c r="Z304" s="224" t="str">
        <f>IF(IFERROR(INDEX('tuot-rehukirjanpito'!I:I,MATCH(A304,'tuot-rehukirjanpito'!G:G,0)),)=0,"",INDEX('tuot-rehukirjanpito'!I:I,MATCH(A304,'tuot-rehukirjanpito'!G:G,0)))</f>
        <v/>
      </c>
      <c r="AA304" s="224">
        <f>SUMIFS('tuot-INFO'!$K$10:$K$115,'tuot-INFO'!$A$10:$A$115,'tuot-PVÄ'!B304)</f>
        <v>65.5</v>
      </c>
      <c r="AB304" s="224">
        <f>SUMIFS('rehu-vesi-INFO'!$R:$R,'rehu-vesi-INFO'!$A:$A,'tuot-PVÄ'!B304)</f>
        <v>1712</v>
      </c>
      <c r="AC304" s="224">
        <f>SUMIFS('rehu-vesi-INFO'!$S:$S,'rehu-vesi-INFO'!$A:$A,'tuot-PVÄ'!B304)</f>
        <v>1818</v>
      </c>
      <c r="AD304" s="224">
        <f t="shared" si="82"/>
        <v>106</v>
      </c>
      <c r="AE304" s="224">
        <f t="shared" si="83"/>
        <v>0</v>
      </c>
      <c r="AF304" s="224">
        <f t="shared" si="84"/>
        <v>171.2</v>
      </c>
      <c r="AG304" s="224">
        <f t="shared" si="85"/>
        <v>10.6</v>
      </c>
      <c r="AH304" s="257">
        <f t="shared" si="87"/>
        <v>0</v>
      </c>
      <c r="AI304" s="258">
        <f t="shared" si="88"/>
        <v>0</v>
      </c>
      <c r="AJ304" s="55">
        <f>SUMIFS('tuot-INFO'!W:W,'tuot-INFO'!$A:$A,'tuot-PVÄ'!B304)</f>
        <v>83.048999999999992</v>
      </c>
      <c r="AK304" s="55">
        <f>SUMIFS('tuot-INFO'!X:X,'tuot-INFO'!$A:$A,'tuot-PVÄ'!B304)</f>
        <v>8.9300000000000068</v>
      </c>
    </row>
    <row r="305" spans="1:37" x14ac:dyDescent="0.25">
      <c r="A305" s="169">
        <f t="shared" si="86"/>
        <v>42791</v>
      </c>
      <c r="B305" s="23">
        <f>ROUNDUP((A305-Yleistiedot!$B$4)/7,0)</f>
        <v>61</v>
      </c>
      <c r="C305" s="16"/>
      <c r="D305" s="25"/>
      <c r="E305" s="25"/>
      <c r="F305" s="25"/>
      <c r="G305" s="25"/>
      <c r="H305" s="25"/>
      <c r="I305" s="65">
        <f t="shared" si="81"/>
        <v>0</v>
      </c>
      <c r="J305" s="26"/>
      <c r="K305" s="25"/>
      <c r="L305" s="16"/>
      <c r="M305" s="16"/>
      <c r="N305" s="25"/>
      <c r="O305" s="30"/>
      <c r="P305" s="252">
        <f t="shared" si="93"/>
        <v>9990</v>
      </c>
      <c r="Q305" s="253">
        <f t="shared" si="94"/>
        <v>0</v>
      </c>
      <c r="R305" s="253">
        <f t="shared" si="95"/>
        <v>0</v>
      </c>
      <c r="S305" s="251">
        <f>SUMIFS('tuot-rehukirjanpito'!D:D,'tuot-rehukirjanpito'!A:A,A305)</f>
        <v>0</v>
      </c>
      <c r="T305" s="254">
        <f t="shared" si="89"/>
        <v>1098.9000000000001</v>
      </c>
      <c r="U305" s="254">
        <f t="shared" si="90"/>
        <v>1098.8999999999999</v>
      </c>
      <c r="V305" s="252">
        <f t="shared" si="91"/>
        <v>-332966.70000000054</v>
      </c>
      <c r="W305" s="255">
        <f t="shared" si="92"/>
        <v>-303.00000000000045</v>
      </c>
      <c r="X305" s="256" t="str">
        <f t="shared" si="96"/>
        <v/>
      </c>
      <c r="Y305" s="256" t="str">
        <f t="shared" si="97"/>
        <v/>
      </c>
      <c r="Z305" s="224" t="str">
        <f>IF(IFERROR(INDEX('tuot-rehukirjanpito'!I:I,MATCH(A305,'tuot-rehukirjanpito'!G:G,0)),)=0,"",INDEX('tuot-rehukirjanpito'!I:I,MATCH(A305,'tuot-rehukirjanpito'!G:G,0)))</f>
        <v/>
      </c>
      <c r="AA305" s="224">
        <f>SUMIFS('tuot-INFO'!$K$10:$K$115,'tuot-INFO'!$A$10:$A$115,'tuot-PVÄ'!B305)</f>
        <v>65.599999999999994</v>
      </c>
      <c r="AB305" s="224">
        <f>SUMIFS('rehu-vesi-INFO'!$R:$R,'rehu-vesi-INFO'!$A:$A,'tuot-PVÄ'!B305)</f>
        <v>1713</v>
      </c>
      <c r="AC305" s="224">
        <f>SUMIFS('rehu-vesi-INFO'!$S:$S,'rehu-vesi-INFO'!$A:$A,'tuot-PVÄ'!B305)</f>
        <v>1819</v>
      </c>
      <c r="AD305" s="224">
        <f t="shared" si="82"/>
        <v>106</v>
      </c>
      <c r="AE305" s="224">
        <f t="shared" si="83"/>
        <v>0</v>
      </c>
      <c r="AF305" s="224">
        <f t="shared" si="84"/>
        <v>171.3</v>
      </c>
      <c r="AG305" s="224">
        <f t="shared" si="85"/>
        <v>10.6</v>
      </c>
      <c r="AH305" s="257">
        <f t="shared" si="87"/>
        <v>0</v>
      </c>
      <c r="AI305" s="258">
        <f t="shared" si="88"/>
        <v>0</v>
      </c>
      <c r="AJ305" s="55">
        <f>SUMIFS('tuot-INFO'!W:W,'tuot-INFO'!$A:$A,'tuot-PVÄ'!B305)</f>
        <v>82.584000000000003</v>
      </c>
      <c r="AK305" s="55">
        <f>SUMIFS('tuot-INFO'!X:X,'tuot-INFO'!$A:$A,'tuot-PVÄ'!B305)</f>
        <v>8.8799999999999955</v>
      </c>
    </row>
    <row r="306" spans="1:37" x14ac:dyDescent="0.25">
      <c r="A306" s="169">
        <f t="shared" si="86"/>
        <v>42792</v>
      </c>
      <c r="B306" s="23">
        <f>ROUNDUP((A306-Yleistiedot!$B$4)/7,0)</f>
        <v>61</v>
      </c>
      <c r="C306" s="16"/>
      <c r="D306" s="25"/>
      <c r="E306" s="25"/>
      <c r="F306" s="25"/>
      <c r="G306" s="25"/>
      <c r="H306" s="25"/>
      <c r="I306" s="65">
        <f t="shared" si="81"/>
        <v>0</v>
      </c>
      <c r="J306" s="26"/>
      <c r="K306" s="25"/>
      <c r="L306" s="16"/>
      <c r="M306" s="16"/>
      <c r="N306" s="25"/>
      <c r="O306" s="30"/>
      <c r="P306" s="252">
        <f t="shared" si="93"/>
        <v>9990</v>
      </c>
      <c r="Q306" s="253">
        <f t="shared" si="94"/>
        <v>0</v>
      </c>
      <c r="R306" s="253">
        <f t="shared" si="95"/>
        <v>0</v>
      </c>
      <c r="S306" s="251">
        <f>SUMIFS('tuot-rehukirjanpito'!D:D,'tuot-rehukirjanpito'!A:A,A306)</f>
        <v>0</v>
      </c>
      <c r="T306" s="254">
        <f t="shared" si="89"/>
        <v>1098.9000000000001</v>
      </c>
      <c r="U306" s="254">
        <f t="shared" si="90"/>
        <v>1098.8999999999999</v>
      </c>
      <c r="V306" s="252">
        <f t="shared" si="91"/>
        <v>-334065.60000000056</v>
      </c>
      <c r="W306" s="255">
        <f t="shared" si="92"/>
        <v>-304.00000000000051</v>
      </c>
      <c r="X306" s="256" t="str">
        <f t="shared" si="96"/>
        <v/>
      </c>
      <c r="Y306" s="256" t="str">
        <f t="shared" si="97"/>
        <v/>
      </c>
      <c r="Z306" s="224" t="str">
        <f>IF(IFERROR(INDEX('tuot-rehukirjanpito'!I:I,MATCH(A306,'tuot-rehukirjanpito'!G:G,0)),)=0,"",INDEX('tuot-rehukirjanpito'!I:I,MATCH(A306,'tuot-rehukirjanpito'!G:G,0)))</f>
        <v/>
      </c>
      <c r="AA306" s="224">
        <f>SUMIFS('tuot-INFO'!$K$10:$K$115,'tuot-INFO'!$A$10:$A$115,'tuot-PVÄ'!B306)</f>
        <v>65.599999999999994</v>
      </c>
      <c r="AB306" s="224">
        <f>SUMIFS('rehu-vesi-INFO'!$R:$R,'rehu-vesi-INFO'!$A:$A,'tuot-PVÄ'!B306)</f>
        <v>1713</v>
      </c>
      <c r="AC306" s="224">
        <f>SUMIFS('rehu-vesi-INFO'!$S:$S,'rehu-vesi-INFO'!$A:$A,'tuot-PVÄ'!B306)</f>
        <v>1819</v>
      </c>
      <c r="AD306" s="224">
        <f t="shared" si="82"/>
        <v>106</v>
      </c>
      <c r="AE306" s="224">
        <f t="shared" si="83"/>
        <v>0</v>
      </c>
      <c r="AF306" s="224">
        <f t="shared" si="84"/>
        <v>171.3</v>
      </c>
      <c r="AG306" s="224">
        <f t="shared" si="85"/>
        <v>10.6</v>
      </c>
      <c r="AH306" s="257">
        <f t="shared" si="87"/>
        <v>0</v>
      </c>
      <c r="AI306" s="258">
        <f t="shared" si="88"/>
        <v>0</v>
      </c>
      <c r="AJ306" s="55">
        <f>SUMIFS('tuot-INFO'!W:W,'tuot-INFO'!$A:$A,'tuot-PVÄ'!B306)</f>
        <v>82.584000000000003</v>
      </c>
      <c r="AK306" s="55">
        <f>SUMIFS('tuot-INFO'!X:X,'tuot-INFO'!$A:$A,'tuot-PVÄ'!B306)</f>
        <v>8.8799999999999955</v>
      </c>
    </row>
    <row r="307" spans="1:37" x14ac:dyDescent="0.25">
      <c r="A307" s="169">
        <f t="shared" si="86"/>
        <v>42793</v>
      </c>
      <c r="B307" s="23">
        <f>ROUNDUP((A307-Yleistiedot!$B$4)/7,0)</f>
        <v>61</v>
      </c>
      <c r="C307" s="16"/>
      <c r="D307" s="25"/>
      <c r="E307" s="25"/>
      <c r="F307" s="25"/>
      <c r="G307" s="25"/>
      <c r="H307" s="25"/>
      <c r="I307" s="65">
        <f t="shared" si="81"/>
        <v>0</v>
      </c>
      <c r="J307" s="26"/>
      <c r="K307" s="25"/>
      <c r="L307" s="16"/>
      <c r="M307" s="16"/>
      <c r="N307" s="25"/>
      <c r="O307" s="30"/>
      <c r="P307" s="252">
        <f t="shared" si="93"/>
        <v>9990</v>
      </c>
      <c r="Q307" s="253">
        <f t="shared" si="94"/>
        <v>0</v>
      </c>
      <c r="R307" s="253">
        <f t="shared" si="95"/>
        <v>0</v>
      </c>
      <c r="S307" s="251">
        <f>SUMIFS('tuot-rehukirjanpito'!D:D,'tuot-rehukirjanpito'!A:A,A307)</f>
        <v>0</v>
      </c>
      <c r="T307" s="254">
        <f t="shared" si="89"/>
        <v>1098.9000000000001</v>
      </c>
      <c r="U307" s="254">
        <f t="shared" si="90"/>
        <v>1098.8999999999999</v>
      </c>
      <c r="V307" s="252">
        <f t="shared" si="91"/>
        <v>-335164.50000000058</v>
      </c>
      <c r="W307" s="255">
        <f t="shared" si="92"/>
        <v>-305.00000000000051</v>
      </c>
      <c r="X307" s="256" t="str">
        <f t="shared" si="96"/>
        <v/>
      </c>
      <c r="Y307" s="256" t="str">
        <f t="shared" si="97"/>
        <v/>
      </c>
      <c r="Z307" s="224" t="str">
        <f>IF(IFERROR(INDEX('tuot-rehukirjanpito'!I:I,MATCH(A307,'tuot-rehukirjanpito'!G:G,0)),)=0,"",INDEX('tuot-rehukirjanpito'!I:I,MATCH(A307,'tuot-rehukirjanpito'!G:G,0)))</f>
        <v/>
      </c>
      <c r="AA307" s="224">
        <f>SUMIFS('tuot-INFO'!$K$10:$K$115,'tuot-INFO'!$A$10:$A$115,'tuot-PVÄ'!B307)</f>
        <v>65.599999999999994</v>
      </c>
      <c r="AB307" s="224">
        <f>SUMIFS('rehu-vesi-INFO'!$R:$R,'rehu-vesi-INFO'!$A:$A,'tuot-PVÄ'!B307)</f>
        <v>1713</v>
      </c>
      <c r="AC307" s="224">
        <f>SUMIFS('rehu-vesi-INFO'!$S:$S,'rehu-vesi-INFO'!$A:$A,'tuot-PVÄ'!B307)</f>
        <v>1819</v>
      </c>
      <c r="AD307" s="224">
        <f t="shared" si="82"/>
        <v>106</v>
      </c>
      <c r="AE307" s="224">
        <f t="shared" si="83"/>
        <v>0</v>
      </c>
      <c r="AF307" s="224">
        <f t="shared" si="84"/>
        <v>171.3</v>
      </c>
      <c r="AG307" s="224">
        <f t="shared" si="85"/>
        <v>10.6</v>
      </c>
      <c r="AH307" s="257">
        <f t="shared" si="87"/>
        <v>0</v>
      </c>
      <c r="AI307" s="258">
        <f t="shared" si="88"/>
        <v>0</v>
      </c>
      <c r="AJ307" s="55">
        <f>SUMIFS('tuot-INFO'!W:W,'tuot-INFO'!$A:$A,'tuot-PVÄ'!B307)</f>
        <v>82.584000000000003</v>
      </c>
      <c r="AK307" s="55">
        <f>SUMIFS('tuot-INFO'!X:X,'tuot-INFO'!$A:$A,'tuot-PVÄ'!B307)</f>
        <v>8.8799999999999955</v>
      </c>
    </row>
    <row r="308" spans="1:37" x14ac:dyDescent="0.25">
      <c r="A308" s="169">
        <f t="shared" si="86"/>
        <v>42794</v>
      </c>
      <c r="B308" s="23">
        <f>ROUNDUP((A308-Yleistiedot!$B$4)/7,0)</f>
        <v>61</v>
      </c>
      <c r="C308" s="16"/>
      <c r="D308" s="25"/>
      <c r="E308" s="25"/>
      <c r="F308" s="25"/>
      <c r="G308" s="25"/>
      <c r="H308" s="25"/>
      <c r="I308" s="65">
        <f t="shared" si="81"/>
        <v>0</v>
      </c>
      <c r="J308" s="26"/>
      <c r="K308" s="25"/>
      <c r="L308" s="16"/>
      <c r="M308" s="16"/>
      <c r="N308" s="25"/>
      <c r="O308" s="30"/>
      <c r="P308" s="252">
        <f t="shared" si="93"/>
        <v>9990</v>
      </c>
      <c r="Q308" s="253">
        <f t="shared" si="94"/>
        <v>0</v>
      </c>
      <c r="R308" s="253">
        <f t="shared" si="95"/>
        <v>0</v>
      </c>
      <c r="S308" s="251">
        <f>SUMIFS('tuot-rehukirjanpito'!D:D,'tuot-rehukirjanpito'!A:A,A308)</f>
        <v>0</v>
      </c>
      <c r="T308" s="254">
        <f t="shared" si="89"/>
        <v>1098.9000000000001</v>
      </c>
      <c r="U308" s="254">
        <f t="shared" si="90"/>
        <v>1098.8999999999999</v>
      </c>
      <c r="V308" s="252">
        <f t="shared" si="91"/>
        <v>-336263.40000000061</v>
      </c>
      <c r="W308" s="255">
        <f t="shared" si="92"/>
        <v>-306.00000000000051</v>
      </c>
      <c r="X308" s="256" t="str">
        <f t="shared" si="96"/>
        <v/>
      </c>
      <c r="Y308" s="256" t="str">
        <f t="shared" si="97"/>
        <v/>
      </c>
      <c r="Z308" s="224" t="str">
        <f>IF(IFERROR(INDEX('tuot-rehukirjanpito'!I:I,MATCH(A308,'tuot-rehukirjanpito'!G:G,0)),)=0,"",INDEX('tuot-rehukirjanpito'!I:I,MATCH(A308,'tuot-rehukirjanpito'!G:G,0)))</f>
        <v/>
      </c>
      <c r="AA308" s="224">
        <f>SUMIFS('tuot-INFO'!$K$10:$K$115,'tuot-INFO'!$A$10:$A$115,'tuot-PVÄ'!B308)</f>
        <v>65.599999999999994</v>
      </c>
      <c r="AB308" s="224">
        <f>SUMIFS('rehu-vesi-INFO'!$R:$R,'rehu-vesi-INFO'!$A:$A,'tuot-PVÄ'!B308)</f>
        <v>1713</v>
      </c>
      <c r="AC308" s="224">
        <f>SUMIFS('rehu-vesi-INFO'!$S:$S,'rehu-vesi-INFO'!$A:$A,'tuot-PVÄ'!B308)</f>
        <v>1819</v>
      </c>
      <c r="AD308" s="224">
        <f t="shared" si="82"/>
        <v>106</v>
      </c>
      <c r="AE308" s="224">
        <f t="shared" si="83"/>
        <v>0</v>
      </c>
      <c r="AF308" s="224">
        <f t="shared" si="84"/>
        <v>171.3</v>
      </c>
      <c r="AG308" s="224">
        <f t="shared" si="85"/>
        <v>10.6</v>
      </c>
      <c r="AH308" s="257">
        <f t="shared" si="87"/>
        <v>0</v>
      </c>
      <c r="AI308" s="258">
        <f t="shared" si="88"/>
        <v>0</v>
      </c>
      <c r="AJ308" s="55">
        <f>SUMIFS('tuot-INFO'!W:W,'tuot-INFO'!$A:$A,'tuot-PVÄ'!B308)</f>
        <v>82.584000000000003</v>
      </c>
      <c r="AK308" s="55">
        <f>SUMIFS('tuot-INFO'!X:X,'tuot-INFO'!$A:$A,'tuot-PVÄ'!B308)</f>
        <v>8.8799999999999955</v>
      </c>
    </row>
    <row r="309" spans="1:37" x14ac:dyDescent="0.25">
      <c r="A309" s="169">
        <f t="shared" si="86"/>
        <v>42795</v>
      </c>
      <c r="B309" s="23">
        <f>ROUNDUP((A309-Yleistiedot!$B$4)/7,0)</f>
        <v>61</v>
      </c>
      <c r="C309" s="16"/>
      <c r="D309" s="25"/>
      <c r="E309" s="25"/>
      <c r="F309" s="25"/>
      <c r="G309" s="25"/>
      <c r="H309" s="25"/>
      <c r="I309" s="65">
        <f t="shared" si="81"/>
        <v>0</v>
      </c>
      <c r="J309" s="26"/>
      <c r="K309" s="25"/>
      <c r="L309" s="16"/>
      <c r="M309" s="16"/>
      <c r="N309" s="25"/>
      <c r="O309" s="30"/>
      <c r="P309" s="252">
        <f t="shared" si="93"/>
        <v>9990</v>
      </c>
      <c r="Q309" s="253">
        <f t="shared" si="94"/>
        <v>0</v>
      </c>
      <c r="R309" s="253">
        <f t="shared" si="95"/>
        <v>0</v>
      </c>
      <c r="S309" s="251">
        <f>SUMIFS('tuot-rehukirjanpito'!D:D,'tuot-rehukirjanpito'!A:A,A309)</f>
        <v>0</v>
      </c>
      <c r="T309" s="254">
        <f t="shared" si="89"/>
        <v>1098.9000000000001</v>
      </c>
      <c r="U309" s="254">
        <f t="shared" si="90"/>
        <v>1098.8999999999999</v>
      </c>
      <c r="V309" s="252">
        <f t="shared" si="91"/>
        <v>-337362.30000000063</v>
      </c>
      <c r="W309" s="255">
        <f t="shared" si="92"/>
        <v>-307.00000000000057</v>
      </c>
      <c r="X309" s="256" t="str">
        <f t="shared" si="96"/>
        <v/>
      </c>
      <c r="Y309" s="256" t="str">
        <f t="shared" si="97"/>
        <v/>
      </c>
      <c r="Z309" s="224" t="str">
        <f>IF(IFERROR(INDEX('tuot-rehukirjanpito'!I:I,MATCH(A309,'tuot-rehukirjanpito'!G:G,0)),)=0,"",INDEX('tuot-rehukirjanpito'!I:I,MATCH(A309,'tuot-rehukirjanpito'!G:G,0)))</f>
        <v/>
      </c>
      <c r="AA309" s="224">
        <f>SUMIFS('tuot-INFO'!$K$10:$K$115,'tuot-INFO'!$A$10:$A$115,'tuot-PVÄ'!B309)</f>
        <v>65.599999999999994</v>
      </c>
      <c r="AB309" s="224">
        <f>SUMIFS('rehu-vesi-INFO'!$R:$R,'rehu-vesi-INFO'!$A:$A,'tuot-PVÄ'!B309)</f>
        <v>1713</v>
      </c>
      <c r="AC309" s="224">
        <f>SUMIFS('rehu-vesi-INFO'!$S:$S,'rehu-vesi-INFO'!$A:$A,'tuot-PVÄ'!B309)</f>
        <v>1819</v>
      </c>
      <c r="AD309" s="224">
        <f t="shared" si="82"/>
        <v>106</v>
      </c>
      <c r="AE309" s="224">
        <f t="shared" si="83"/>
        <v>0</v>
      </c>
      <c r="AF309" s="224">
        <f t="shared" si="84"/>
        <v>171.3</v>
      </c>
      <c r="AG309" s="224">
        <f t="shared" si="85"/>
        <v>10.6</v>
      </c>
      <c r="AH309" s="257">
        <f t="shared" si="87"/>
        <v>0</v>
      </c>
      <c r="AI309" s="258">
        <f t="shared" si="88"/>
        <v>0</v>
      </c>
      <c r="AJ309" s="55">
        <f>SUMIFS('tuot-INFO'!W:W,'tuot-INFO'!$A:$A,'tuot-PVÄ'!B309)</f>
        <v>82.584000000000003</v>
      </c>
      <c r="AK309" s="55">
        <f>SUMIFS('tuot-INFO'!X:X,'tuot-INFO'!$A:$A,'tuot-PVÄ'!B309)</f>
        <v>8.8799999999999955</v>
      </c>
    </row>
    <row r="310" spans="1:37" x14ac:dyDescent="0.25">
      <c r="A310" s="169">
        <f t="shared" si="86"/>
        <v>42796</v>
      </c>
      <c r="B310" s="23">
        <f>ROUNDUP((A310-Yleistiedot!$B$4)/7,0)</f>
        <v>61</v>
      </c>
      <c r="C310" s="16"/>
      <c r="D310" s="25"/>
      <c r="E310" s="25"/>
      <c r="F310" s="25"/>
      <c r="G310" s="25"/>
      <c r="H310" s="25"/>
      <c r="I310" s="65">
        <f t="shared" si="81"/>
        <v>0</v>
      </c>
      <c r="J310" s="26"/>
      <c r="K310" s="25"/>
      <c r="L310" s="16"/>
      <c r="M310" s="16"/>
      <c r="N310" s="25"/>
      <c r="O310" s="30"/>
      <c r="P310" s="252">
        <f t="shared" si="93"/>
        <v>9990</v>
      </c>
      <c r="Q310" s="253">
        <f t="shared" si="94"/>
        <v>0</v>
      </c>
      <c r="R310" s="253">
        <f t="shared" si="95"/>
        <v>0</v>
      </c>
      <c r="S310" s="251">
        <f>SUMIFS('tuot-rehukirjanpito'!D:D,'tuot-rehukirjanpito'!A:A,A310)</f>
        <v>0</v>
      </c>
      <c r="T310" s="254">
        <f t="shared" si="89"/>
        <v>1098.9000000000001</v>
      </c>
      <c r="U310" s="254">
        <f t="shared" si="90"/>
        <v>1098.8999999999999</v>
      </c>
      <c r="V310" s="252">
        <f t="shared" si="91"/>
        <v>-338461.20000000065</v>
      </c>
      <c r="W310" s="255">
        <f t="shared" si="92"/>
        <v>-308.00000000000057</v>
      </c>
      <c r="X310" s="256" t="str">
        <f t="shared" si="96"/>
        <v/>
      </c>
      <c r="Y310" s="256" t="str">
        <f t="shared" si="97"/>
        <v/>
      </c>
      <c r="Z310" s="224" t="str">
        <f>IF(IFERROR(INDEX('tuot-rehukirjanpito'!I:I,MATCH(A310,'tuot-rehukirjanpito'!G:G,0)),)=0,"",INDEX('tuot-rehukirjanpito'!I:I,MATCH(A310,'tuot-rehukirjanpito'!G:G,0)))</f>
        <v/>
      </c>
      <c r="AA310" s="224">
        <f>SUMIFS('tuot-INFO'!$K$10:$K$115,'tuot-INFO'!$A$10:$A$115,'tuot-PVÄ'!B310)</f>
        <v>65.599999999999994</v>
      </c>
      <c r="AB310" s="224">
        <f>SUMIFS('rehu-vesi-INFO'!$R:$R,'rehu-vesi-INFO'!$A:$A,'tuot-PVÄ'!B310)</f>
        <v>1713</v>
      </c>
      <c r="AC310" s="224">
        <f>SUMIFS('rehu-vesi-INFO'!$S:$S,'rehu-vesi-INFO'!$A:$A,'tuot-PVÄ'!B310)</f>
        <v>1819</v>
      </c>
      <c r="AD310" s="224">
        <f t="shared" si="82"/>
        <v>106</v>
      </c>
      <c r="AE310" s="224">
        <f t="shared" si="83"/>
        <v>0</v>
      </c>
      <c r="AF310" s="224">
        <f t="shared" si="84"/>
        <v>171.3</v>
      </c>
      <c r="AG310" s="224">
        <f t="shared" si="85"/>
        <v>10.6</v>
      </c>
      <c r="AH310" s="257">
        <f t="shared" si="87"/>
        <v>0</v>
      </c>
      <c r="AI310" s="258">
        <f t="shared" si="88"/>
        <v>0</v>
      </c>
      <c r="AJ310" s="55">
        <f>SUMIFS('tuot-INFO'!W:W,'tuot-INFO'!$A:$A,'tuot-PVÄ'!B310)</f>
        <v>82.584000000000003</v>
      </c>
      <c r="AK310" s="55">
        <f>SUMIFS('tuot-INFO'!X:X,'tuot-INFO'!$A:$A,'tuot-PVÄ'!B310)</f>
        <v>8.8799999999999955</v>
      </c>
    </row>
    <row r="311" spans="1:37" x14ac:dyDescent="0.25">
      <c r="A311" s="169">
        <f t="shared" si="86"/>
        <v>42797</v>
      </c>
      <c r="B311" s="23">
        <f>ROUNDUP((A311-Yleistiedot!$B$4)/7,0)</f>
        <v>61</v>
      </c>
      <c r="C311" s="16"/>
      <c r="D311" s="25"/>
      <c r="E311" s="25"/>
      <c r="F311" s="25"/>
      <c r="G311" s="25"/>
      <c r="H311" s="25"/>
      <c r="I311" s="65">
        <f t="shared" si="81"/>
        <v>0</v>
      </c>
      <c r="J311" s="26"/>
      <c r="K311" s="25"/>
      <c r="L311" s="16"/>
      <c r="M311" s="16"/>
      <c r="N311" s="25"/>
      <c r="O311" s="30"/>
      <c r="P311" s="252">
        <f t="shared" si="93"/>
        <v>9990</v>
      </c>
      <c r="Q311" s="253">
        <f t="shared" si="94"/>
        <v>0</v>
      </c>
      <c r="R311" s="253">
        <f t="shared" si="95"/>
        <v>0</v>
      </c>
      <c r="S311" s="251">
        <f>SUMIFS('tuot-rehukirjanpito'!D:D,'tuot-rehukirjanpito'!A:A,A311)</f>
        <v>0</v>
      </c>
      <c r="T311" s="254">
        <f t="shared" si="89"/>
        <v>1098.9000000000001</v>
      </c>
      <c r="U311" s="254">
        <f t="shared" si="90"/>
        <v>1098.8999999999999</v>
      </c>
      <c r="V311" s="252">
        <f t="shared" si="91"/>
        <v>-339560.10000000068</v>
      </c>
      <c r="W311" s="255">
        <f t="shared" si="92"/>
        <v>-309.00000000000057</v>
      </c>
      <c r="X311" s="256" t="str">
        <f t="shared" si="96"/>
        <v/>
      </c>
      <c r="Y311" s="256" t="str">
        <f t="shared" si="97"/>
        <v/>
      </c>
      <c r="Z311" s="224" t="str">
        <f>IF(IFERROR(INDEX('tuot-rehukirjanpito'!I:I,MATCH(A311,'tuot-rehukirjanpito'!G:G,0)),)=0,"",INDEX('tuot-rehukirjanpito'!I:I,MATCH(A311,'tuot-rehukirjanpito'!G:G,0)))</f>
        <v/>
      </c>
      <c r="AA311" s="224">
        <f>SUMIFS('tuot-INFO'!$K$10:$K$115,'tuot-INFO'!$A$10:$A$115,'tuot-PVÄ'!B311)</f>
        <v>65.599999999999994</v>
      </c>
      <c r="AB311" s="224">
        <f>SUMIFS('rehu-vesi-INFO'!$R:$R,'rehu-vesi-INFO'!$A:$A,'tuot-PVÄ'!B311)</f>
        <v>1713</v>
      </c>
      <c r="AC311" s="224">
        <f>SUMIFS('rehu-vesi-INFO'!$S:$S,'rehu-vesi-INFO'!$A:$A,'tuot-PVÄ'!B311)</f>
        <v>1819</v>
      </c>
      <c r="AD311" s="224">
        <f t="shared" si="82"/>
        <v>106</v>
      </c>
      <c r="AE311" s="224">
        <f t="shared" si="83"/>
        <v>0</v>
      </c>
      <c r="AF311" s="224">
        <f t="shared" si="84"/>
        <v>171.3</v>
      </c>
      <c r="AG311" s="224">
        <f t="shared" si="85"/>
        <v>10.6</v>
      </c>
      <c r="AH311" s="257">
        <f t="shared" si="87"/>
        <v>0</v>
      </c>
      <c r="AI311" s="258">
        <f t="shared" si="88"/>
        <v>0</v>
      </c>
      <c r="AJ311" s="55">
        <f>SUMIFS('tuot-INFO'!W:W,'tuot-INFO'!$A:$A,'tuot-PVÄ'!B311)</f>
        <v>82.584000000000003</v>
      </c>
      <c r="AK311" s="55">
        <f>SUMIFS('tuot-INFO'!X:X,'tuot-INFO'!$A:$A,'tuot-PVÄ'!B311)</f>
        <v>8.8799999999999955</v>
      </c>
    </row>
    <row r="312" spans="1:37" x14ac:dyDescent="0.25">
      <c r="A312" s="169">
        <f t="shared" si="86"/>
        <v>42798</v>
      </c>
      <c r="B312" s="23">
        <f>ROUNDUP((A312-Yleistiedot!$B$4)/7,0)</f>
        <v>62</v>
      </c>
      <c r="C312" s="16"/>
      <c r="D312" s="25"/>
      <c r="E312" s="25"/>
      <c r="F312" s="25"/>
      <c r="G312" s="25"/>
      <c r="H312" s="25"/>
      <c r="I312" s="65">
        <f t="shared" si="81"/>
        <v>0</v>
      </c>
      <c r="J312" s="26"/>
      <c r="K312" s="25"/>
      <c r="L312" s="16"/>
      <c r="M312" s="16"/>
      <c r="N312" s="25"/>
      <c r="O312" s="30"/>
      <c r="P312" s="252">
        <f t="shared" si="93"/>
        <v>9990</v>
      </c>
      <c r="Q312" s="253">
        <f t="shared" si="94"/>
        <v>0</v>
      </c>
      <c r="R312" s="253">
        <f t="shared" si="95"/>
        <v>0</v>
      </c>
      <c r="S312" s="251">
        <f>SUMIFS('tuot-rehukirjanpito'!D:D,'tuot-rehukirjanpito'!A:A,A312)</f>
        <v>0</v>
      </c>
      <c r="T312" s="254">
        <f t="shared" si="89"/>
        <v>1098.9000000000001</v>
      </c>
      <c r="U312" s="254">
        <f t="shared" si="90"/>
        <v>1098.8999999999999</v>
      </c>
      <c r="V312" s="252">
        <f t="shared" si="91"/>
        <v>-340659.0000000007</v>
      </c>
      <c r="W312" s="255">
        <f t="shared" si="92"/>
        <v>-310.00000000000063</v>
      </c>
      <c r="X312" s="256" t="str">
        <f t="shared" si="96"/>
        <v/>
      </c>
      <c r="Y312" s="256" t="str">
        <f t="shared" si="97"/>
        <v/>
      </c>
      <c r="Z312" s="224" t="str">
        <f>IF(IFERROR(INDEX('tuot-rehukirjanpito'!I:I,MATCH(A312,'tuot-rehukirjanpito'!G:G,0)),)=0,"",INDEX('tuot-rehukirjanpito'!I:I,MATCH(A312,'tuot-rehukirjanpito'!G:G,0)))</f>
        <v/>
      </c>
      <c r="AA312" s="224">
        <f>SUMIFS('tuot-INFO'!$K$10:$K$115,'tuot-INFO'!$A$10:$A$115,'tuot-PVÄ'!B312)</f>
        <v>65.599999999999994</v>
      </c>
      <c r="AB312" s="224">
        <f>SUMIFS('rehu-vesi-INFO'!$R:$R,'rehu-vesi-INFO'!$A:$A,'tuot-PVÄ'!B312)</f>
        <v>1714</v>
      </c>
      <c r="AC312" s="224">
        <f>SUMIFS('rehu-vesi-INFO'!$S:$S,'rehu-vesi-INFO'!$A:$A,'tuot-PVÄ'!B312)</f>
        <v>1821</v>
      </c>
      <c r="AD312" s="224">
        <f t="shared" si="82"/>
        <v>107</v>
      </c>
      <c r="AE312" s="224">
        <f t="shared" si="83"/>
        <v>0</v>
      </c>
      <c r="AF312" s="224">
        <f t="shared" si="84"/>
        <v>171.4</v>
      </c>
      <c r="AG312" s="224">
        <f t="shared" si="85"/>
        <v>10.7</v>
      </c>
      <c r="AH312" s="257">
        <f t="shared" si="87"/>
        <v>0</v>
      </c>
      <c r="AI312" s="258">
        <f t="shared" si="88"/>
        <v>0</v>
      </c>
      <c r="AJ312" s="55">
        <f>SUMIFS('tuot-INFO'!W:W,'tuot-INFO'!$A:$A,'tuot-PVÄ'!B312)</f>
        <v>82.119</v>
      </c>
      <c r="AK312" s="55">
        <f>SUMIFS('tuot-INFO'!X:X,'tuot-INFO'!$A:$A,'tuot-PVÄ'!B312)</f>
        <v>8.8299999999999983</v>
      </c>
    </row>
    <row r="313" spans="1:37" x14ac:dyDescent="0.25">
      <c r="A313" s="169">
        <f t="shared" si="86"/>
        <v>42799</v>
      </c>
      <c r="B313" s="23">
        <f>ROUNDUP((A313-Yleistiedot!$B$4)/7,0)</f>
        <v>62</v>
      </c>
      <c r="C313" s="16"/>
      <c r="D313" s="25"/>
      <c r="E313" s="25"/>
      <c r="F313" s="25"/>
      <c r="G313" s="25"/>
      <c r="H313" s="25"/>
      <c r="I313" s="65">
        <f t="shared" si="81"/>
        <v>0</v>
      </c>
      <c r="J313" s="26"/>
      <c r="K313" s="25"/>
      <c r="L313" s="16"/>
      <c r="M313" s="16"/>
      <c r="N313" s="25"/>
      <c r="O313" s="30"/>
      <c r="P313" s="252">
        <f t="shared" si="93"/>
        <v>9990</v>
      </c>
      <c r="Q313" s="253">
        <f t="shared" si="94"/>
        <v>0</v>
      </c>
      <c r="R313" s="253">
        <f t="shared" si="95"/>
        <v>0</v>
      </c>
      <c r="S313" s="251">
        <f>SUMIFS('tuot-rehukirjanpito'!D:D,'tuot-rehukirjanpito'!A:A,A313)</f>
        <v>0</v>
      </c>
      <c r="T313" s="254">
        <f t="shared" si="89"/>
        <v>1098.9000000000001</v>
      </c>
      <c r="U313" s="254">
        <f t="shared" si="90"/>
        <v>1098.8999999999999</v>
      </c>
      <c r="V313" s="252">
        <f t="shared" si="91"/>
        <v>-341757.90000000072</v>
      </c>
      <c r="W313" s="255">
        <f t="shared" si="92"/>
        <v>-311.00000000000063</v>
      </c>
      <c r="X313" s="256" t="str">
        <f t="shared" si="96"/>
        <v/>
      </c>
      <c r="Y313" s="256" t="str">
        <f t="shared" si="97"/>
        <v/>
      </c>
      <c r="Z313" s="224" t="str">
        <f>IF(IFERROR(INDEX('tuot-rehukirjanpito'!I:I,MATCH(A313,'tuot-rehukirjanpito'!G:G,0)),)=0,"",INDEX('tuot-rehukirjanpito'!I:I,MATCH(A313,'tuot-rehukirjanpito'!G:G,0)))</f>
        <v/>
      </c>
      <c r="AA313" s="224">
        <f>SUMIFS('tuot-INFO'!$K$10:$K$115,'tuot-INFO'!$A$10:$A$115,'tuot-PVÄ'!B313)</f>
        <v>65.599999999999994</v>
      </c>
      <c r="AB313" s="224">
        <f>SUMIFS('rehu-vesi-INFO'!$R:$R,'rehu-vesi-INFO'!$A:$A,'tuot-PVÄ'!B313)</f>
        <v>1714</v>
      </c>
      <c r="AC313" s="224">
        <f>SUMIFS('rehu-vesi-INFO'!$S:$S,'rehu-vesi-INFO'!$A:$A,'tuot-PVÄ'!B313)</f>
        <v>1821</v>
      </c>
      <c r="AD313" s="224">
        <f t="shared" si="82"/>
        <v>107</v>
      </c>
      <c r="AE313" s="224">
        <f t="shared" si="83"/>
        <v>0</v>
      </c>
      <c r="AF313" s="224">
        <f t="shared" si="84"/>
        <v>171.4</v>
      </c>
      <c r="AG313" s="224">
        <f t="shared" si="85"/>
        <v>10.7</v>
      </c>
      <c r="AH313" s="257">
        <f t="shared" si="87"/>
        <v>0</v>
      </c>
      <c r="AI313" s="258">
        <f t="shared" si="88"/>
        <v>0</v>
      </c>
      <c r="AJ313" s="55">
        <f>SUMIFS('tuot-INFO'!W:W,'tuot-INFO'!$A:$A,'tuot-PVÄ'!B313)</f>
        <v>82.119</v>
      </c>
      <c r="AK313" s="55">
        <f>SUMIFS('tuot-INFO'!X:X,'tuot-INFO'!$A:$A,'tuot-PVÄ'!B313)</f>
        <v>8.8299999999999983</v>
      </c>
    </row>
    <row r="314" spans="1:37" x14ac:dyDescent="0.25">
      <c r="A314" s="169">
        <f t="shared" si="86"/>
        <v>42800</v>
      </c>
      <c r="B314" s="23">
        <f>ROUNDUP((A314-Yleistiedot!$B$4)/7,0)</f>
        <v>62</v>
      </c>
      <c r="C314" s="16"/>
      <c r="D314" s="25"/>
      <c r="E314" s="25"/>
      <c r="F314" s="25"/>
      <c r="G314" s="25"/>
      <c r="H314" s="25"/>
      <c r="I314" s="65">
        <f t="shared" si="81"/>
        <v>0</v>
      </c>
      <c r="J314" s="26"/>
      <c r="K314" s="25"/>
      <c r="L314" s="16"/>
      <c r="M314" s="16"/>
      <c r="N314" s="25"/>
      <c r="O314" s="30"/>
      <c r="P314" s="252">
        <f t="shared" si="93"/>
        <v>9990</v>
      </c>
      <c r="Q314" s="253">
        <f t="shared" si="94"/>
        <v>0</v>
      </c>
      <c r="R314" s="253">
        <f t="shared" si="95"/>
        <v>0</v>
      </c>
      <c r="S314" s="251">
        <f>SUMIFS('tuot-rehukirjanpito'!D:D,'tuot-rehukirjanpito'!A:A,A314)</f>
        <v>0</v>
      </c>
      <c r="T314" s="254">
        <f t="shared" si="89"/>
        <v>1098.9000000000001</v>
      </c>
      <c r="U314" s="254">
        <f t="shared" si="90"/>
        <v>1098.8999999999999</v>
      </c>
      <c r="V314" s="252">
        <f t="shared" si="91"/>
        <v>-342856.80000000075</v>
      </c>
      <c r="W314" s="255">
        <f t="shared" si="92"/>
        <v>-312.00000000000063</v>
      </c>
      <c r="X314" s="256" t="str">
        <f t="shared" si="96"/>
        <v/>
      </c>
      <c r="Y314" s="256" t="str">
        <f t="shared" si="97"/>
        <v/>
      </c>
      <c r="Z314" s="224" t="str">
        <f>IF(IFERROR(INDEX('tuot-rehukirjanpito'!I:I,MATCH(A314,'tuot-rehukirjanpito'!G:G,0)),)=0,"",INDEX('tuot-rehukirjanpito'!I:I,MATCH(A314,'tuot-rehukirjanpito'!G:G,0)))</f>
        <v/>
      </c>
      <c r="AA314" s="224">
        <f>SUMIFS('tuot-INFO'!$K$10:$K$115,'tuot-INFO'!$A$10:$A$115,'tuot-PVÄ'!B314)</f>
        <v>65.599999999999994</v>
      </c>
      <c r="AB314" s="224">
        <f>SUMIFS('rehu-vesi-INFO'!$R:$R,'rehu-vesi-INFO'!$A:$A,'tuot-PVÄ'!B314)</f>
        <v>1714</v>
      </c>
      <c r="AC314" s="224">
        <f>SUMIFS('rehu-vesi-INFO'!$S:$S,'rehu-vesi-INFO'!$A:$A,'tuot-PVÄ'!B314)</f>
        <v>1821</v>
      </c>
      <c r="AD314" s="224">
        <f t="shared" si="82"/>
        <v>107</v>
      </c>
      <c r="AE314" s="224">
        <f t="shared" si="83"/>
        <v>0</v>
      </c>
      <c r="AF314" s="224">
        <f t="shared" si="84"/>
        <v>171.4</v>
      </c>
      <c r="AG314" s="224">
        <f t="shared" si="85"/>
        <v>10.7</v>
      </c>
      <c r="AH314" s="257">
        <f t="shared" si="87"/>
        <v>0</v>
      </c>
      <c r="AI314" s="258">
        <f t="shared" si="88"/>
        <v>0</v>
      </c>
      <c r="AJ314" s="55">
        <f>SUMIFS('tuot-INFO'!W:W,'tuot-INFO'!$A:$A,'tuot-PVÄ'!B314)</f>
        <v>82.119</v>
      </c>
      <c r="AK314" s="55">
        <f>SUMIFS('tuot-INFO'!X:X,'tuot-INFO'!$A:$A,'tuot-PVÄ'!B314)</f>
        <v>8.8299999999999983</v>
      </c>
    </row>
    <row r="315" spans="1:37" x14ac:dyDescent="0.25">
      <c r="A315" s="169">
        <f t="shared" si="86"/>
        <v>42801</v>
      </c>
      <c r="B315" s="23">
        <f>ROUNDUP((A315-Yleistiedot!$B$4)/7,0)</f>
        <v>62</v>
      </c>
      <c r="C315" s="16"/>
      <c r="D315" s="25"/>
      <c r="E315" s="25"/>
      <c r="F315" s="25"/>
      <c r="G315" s="25"/>
      <c r="H315" s="25"/>
      <c r="I315" s="65">
        <f t="shared" si="81"/>
        <v>0</v>
      </c>
      <c r="J315" s="26"/>
      <c r="K315" s="25"/>
      <c r="L315" s="16"/>
      <c r="M315" s="16"/>
      <c r="N315" s="25"/>
      <c r="O315" s="30"/>
      <c r="P315" s="252">
        <f t="shared" si="93"/>
        <v>9990</v>
      </c>
      <c r="Q315" s="253">
        <f t="shared" si="94"/>
        <v>0</v>
      </c>
      <c r="R315" s="253">
        <f t="shared" si="95"/>
        <v>0</v>
      </c>
      <c r="S315" s="251">
        <f>SUMIFS('tuot-rehukirjanpito'!D:D,'tuot-rehukirjanpito'!A:A,A315)</f>
        <v>0</v>
      </c>
      <c r="T315" s="254">
        <f t="shared" si="89"/>
        <v>1098.9000000000001</v>
      </c>
      <c r="U315" s="254">
        <f t="shared" si="90"/>
        <v>1098.8999999999999</v>
      </c>
      <c r="V315" s="252">
        <f t="shared" si="91"/>
        <v>-343955.70000000077</v>
      </c>
      <c r="W315" s="255">
        <f t="shared" si="92"/>
        <v>-313.00000000000068</v>
      </c>
      <c r="X315" s="256" t="str">
        <f t="shared" si="96"/>
        <v/>
      </c>
      <c r="Y315" s="256" t="str">
        <f t="shared" si="97"/>
        <v/>
      </c>
      <c r="Z315" s="224" t="str">
        <f>IF(IFERROR(INDEX('tuot-rehukirjanpito'!I:I,MATCH(A315,'tuot-rehukirjanpito'!G:G,0)),)=0,"",INDEX('tuot-rehukirjanpito'!I:I,MATCH(A315,'tuot-rehukirjanpito'!G:G,0)))</f>
        <v/>
      </c>
      <c r="AA315" s="224">
        <f>SUMIFS('tuot-INFO'!$K$10:$K$115,'tuot-INFO'!$A$10:$A$115,'tuot-PVÄ'!B315)</f>
        <v>65.599999999999994</v>
      </c>
      <c r="AB315" s="224">
        <f>SUMIFS('rehu-vesi-INFO'!$R:$R,'rehu-vesi-INFO'!$A:$A,'tuot-PVÄ'!B315)</f>
        <v>1714</v>
      </c>
      <c r="AC315" s="224">
        <f>SUMIFS('rehu-vesi-INFO'!$S:$S,'rehu-vesi-INFO'!$A:$A,'tuot-PVÄ'!B315)</f>
        <v>1821</v>
      </c>
      <c r="AD315" s="224">
        <f t="shared" si="82"/>
        <v>107</v>
      </c>
      <c r="AE315" s="224">
        <f t="shared" si="83"/>
        <v>0</v>
      </c>
      <c r="AF315" s="224">
        <f t="shared" si="84"/>
        <v>171.4</v>
      </c>
      <c r="AG315" s="224">
        <f t="shared" si="85"/>
        <v>10.7</v>
      </c>
      <c r="AH315" s="257">
        <f t="shared" si="87"/>
        <v>0</v>
      </c>
      <c r="AI315" s="258">
        <f t="shared" si="88"/>
        <v>0</v>
      </c>
      <c r="AJ315" s="55">
        <f>SUMIFS('tuot-INFO'!W:W,'tuot-INFO'!$A:$A,'tuot-PVÄ'!B315)</f>
        <v>82.119</v>
      </c>
      <c r="AK315" s="55">
        <f>SUMIFS('tuot-INFO'!X:X,'tuot-INFO'!$A:$A,'tuot-PVÄ'!B315)</f>
        <v>8.8299999999999983</v>
      </c>
    </row>
    <row r="316" spans="1:37" x14ac:dyDescent="0.25">
      <c r="A316" s="169">
        <f t="shared" si="86"/>
        <v>42802</v>
      </c>
      <c r="B316" s="23">
        <f>ROUNDUP((A316-Yleistiedot!$B$4)/7,0)</f>
        <v>62</v>
      </c>
      <c r="C316" s="16"/>
      <c r="D316" s="25"/>
      <c r="E316" s="25"/>
      <c r="F316" s="25"/>
      <c r="G316" s="25"/>
      <c r="H316" s="25"/>
      <c r="I316" s="65">
        <f t="shared" si="81"/>
        <v>0</v>
      </c>
      <c r="J316" s="26"/>
      <c r="K316" s="25"/>
      <c r="L316" s="16"/>
      <c r="M316" s="16"/>
      <c r="N316" s="25"/>
      <c r="O316" s="30"/>
      <c r="P316" s="252">
        <f t="shared" si="93"/>
        <v>9990</v>
      </c>
      <c r="Q316" s="253">
        <f t="shared" si="94"/>
        <v>0</v>
      </c>
      <c r="R316" s="253">
        <f t="shared" si="95"/>
        <v>0</v>
      </c>
      <c r="S316" s="251">
        <f>SUMIFS('tuot-rehukirjanpito'!D:D,'tuot-rehukirjanpito'!A:A,A316)</f>
        <v>0</v>
      </c>
      <c r="T316" s="254">
        <f t="shared" si="89"/>
        <v>1098.9000000000001</v>
      </c>
      <c r="U316" s="254">
        <f t="shared" si="90"/>
        <v>1098.8999999999999</v>
      </c>
      <c r="V316" s="252">
        <f t="shared" si="91"/>
        <v>-345054.60000000079</v>
      </c>
      <c r="W316" s="255">
        <f t="shared" si="92"/>
        <v>-314.00000000000068</v>
      </c>
      <c r="X316" s="256" t="str">
        <f t="shared" si="96"/>
        <v/>
      </c>
      <c r="Y316" s="256" t="str">
        <f t="shared" si="97"/>
        <v/>
      </c>
      <c r="Z316" s="224" t="str">
        <f>IF(IFERROR(INDEX('tuot-rehukirjanpito'!I:I,MATCH(A316,'tuot-rehukirjanpito'!G:G,0)),)=0,"",INDEX('tuot-rehukirjanpito'!I:I,MATCH(A316,'tuot-rehukirjanpito'!G:G,0)))</f>
        <v/>
      </c>
      <c r="AA316" s="224">
        <f>SUMIFS('tuot-INFO'!$K$10:$K$115,'tuot-INFO'!$A$10:$A$115,'tuot-PVÄ'!B316)</f>
        <v>65.599999999999994</v>
      </c>
      <c r="AB316" s="224">
        <f>SUMIFS('rehu-vesi-INFO'!$R:$R,'rehu-vesi-INFO'!$A:$A,'tuot-PVÄ'!B316)</f>
        <v>1714</v>
      </c>
      <c r="AC316" s="224">
        <f>SUMIFS('rehu-vesi-INFO'!$S:$S,'rehu-vesi-INFO'!$A:$A,'tuot-PVÄ'!B316)</f>
        <v>1821</v>
      </c>
      <c r="AD316" s="224">
        <f t="shared" si="82"/>
        <v>107</v>
      </c>
      <c r="AE316" s="224">
        <f t="shared" si="83"/>
        <v>0</v>
      </c>
      <c r="AF316" s="224">
        <f t="shared" si="84"/>
        <v>171.4</v>
      </c>
      <c r="AG316" s="224">
        <f t="shared" si="85"/>
        <v>10.7</v>
      </c>
      <c r="AH316" s="257">
        <f t="shared" si="87"/>
        <v>0</v>
      </c>
      <c r="AI316" s="258">
        <f t="shared" si="88"/>
        <v>0</v>
      </c>
      <c r="AJ316" s="55">
        <f>SUMIFS('tuot-INFO'!W:W,'tuot-INFO'!$A:$A,'tuot-PVÄ'!B316)</f>
        <v>82.119</v>
      </c>
      <c r="AK316" s="55">
        <f>SUMIFS('tuot-INFO'!X:X,'tuot-INFO'!$A:$A,'tuot-PVÄ'!B316)</f>
        <v>8.8299999999999983</v>
      </c>
    </row>
    <row r="317" spans="1:37" x14ac:dyDescent="0.25">
      <c r="A317" s="169">
        <f t="shared" si="86"/>
        <v>42803</v>
      </c>
      <c r="B317" s="23">
        <f>ROUNDUP((A317-Yleistiedot!$B$4)/7,0)</f>
        <v>62</v>
      </c>
      <c r="C317" s="16"/>
      <c r="D317" s="25"/>
      <c r="E317" s="25"/>
      <c r="F317" s="25"/>
      <c r="G317" s="25"/>
      <c r="H317" s="25"/>
      <c r="I317" s="65">
        <f t="shared" si="81"/>
        <v>0</v>
      </c>
      <c r="J317" s="26"/>
      <c r="K317" s="25"/>
      <c r="L317" s="16"/>
      <c r="M317" s="16"/>
      <c r="N317" s="25"/>
      <c r="O317" s="30"/>
      <c r="P317" s="252">
        <f t="shared" si="93"/>
        <v>9990</v>
      </c>
      <c r="Q317" s="253">
        <f t="shared" si="94"/>
        <v>0</v>
      </c>
      <c r="R317" s="253">
        <f t="shared" si="95"/>
        <v>0</v>
      </c>
      <c r="S317" s="251">
        <f>SUMIFS('tuot-rehukirjanpito'!D:D,'tuot-rehukirjanpito'!A:A,A317)</f>
        <v>0</v>
      </c>
      <c r="T317" s="254">
        <f t="shared" si="89"/>
        <v>1098.9000000000001</v>
      </c>
      <c r="U317" s="254">
        <f t="shared" si="90"/>
        <v>1098.8999999999999</v>
      </c>
      <c r="V317" s="252">
        <f t="shared" si="91"/>
        <v>-346153.50000000081</v>
      </c>
      <c r="W317" s="255">
        <f t="shared" si="92"/>
        <v>-315.00000000000074</v>
      </c>
      <c r="X317" s="256" t="str">
        <f t="shared" si="96"/>
        <v/>
      </c>
      <c r="Y317" s="256" t="str">
        <f t="shared" si="97"/>
        <v/>
      </c>
      <c r="Z317" s="224" t="str">
        <f>IF(IFERROR(INDEX('tuot-rehukirjanpito'!I:I,MATCH(A317,'tuot-rehukirjanpito'!G:G,0)),)=0,"",INDEX('tuot-rehukirjanpito'!I:I,MATCH(A317,'tuot-rehukirjanpito'!G:G,0)))</f>
        <v/>
      </c>
      <c r="AA317" s="224">
        <f>SUMIFS('tuot-INFO'!$K$10:$K$115,'tuot-INFO'!$A$10:$A$115,'tuot-PVÄ'!B317)</f>
        <v>65.599999999999994</v>
      </c>
      <c r="AB317" s="224">
        <f>SUMIFS('rehu-vesi-INFO'!$R:$R,'rehu-vesi-INFO'!$A:$A,'tuot-PVÄ'!B317)</f>
        <v>1714</v>
      </c>
      <c r="AC317" s="224">
        <f>SUMIFS('rehu-vesi-INFO'!$S:$S,'rehu-vesi-INFO'!$A:$A,'tuot-PVÄ'!B317)</f>
        <v>1821</v>
      </c>
      <c r="AD317" s="224">
        <f t="shared" si="82"/>
        <v>107</v>
      </c>
      <c r="AE317" s="224">
        <f t="shared" si="83"/>
        <v>0</v>
      </c>
      <c r="AF317" s="224">
        <f t="shared" si="84"/>
        <v>171.4</v>
      </c>
      <c r="AG317" s="224">
        <f t="shared" si="85"/>
        <v>10.7</v>
      </c>
      <c r="AH317" s="257">
        <f t="shared" si="87"/>
        <v>0</v>
      </c>
      <c r="AI317" s="258">
        <f t="shared" si="88"/>
        <v>0</v>
      </c>
      <c r="AJ317" s="55">
        <f>SUMIFS('tuot-INFO'!W:W,'tuot-INFO'!$A:$A,'tuot-PVÄ'!B317)</f>
        <v>82.119</v>
      </c>
      <c r="AK317" s="55">
        <f>SUMIFS('tuot-INFO'!X:X,'tuot-INFO'!$A:$A,'tuot-PVÄ'!B317)</f>
        <v>8.8299999999999983</v>
      </c>
    </row>
    <row r="318" spans="1:37" x14ac:dyDescent="0.25">
      <c r="A318" s="169">
        <f t="shared" si="86"/>
        <v>42804</v>
      </c>
      <c r="B318" s="23">
        <f>ROUNDUP((A318-Yleistiedot!$B$4)/7,0)</f>
        <v>62</v>
      </c>
      <c r="C318" s="16"/>
      <c r="D318" s="25"/>
      <c r="E318" s="25"/>
      <c r="F318" s="25"/>
      <c r="G318" s="25"/>
      <c r="H318" s="25"/>
      <c r="I318" s="65">
        <f t="shared" si="81"/>
        <v>0</v>
      </c>
      <c r="J318" s="26"/>
      <c r="K318" s="25"/>
      <c r="L318" s="16"/>
      <c r="M318" s="16"/>
      <c r="N318" s="25"/>
      <c r="O318" s="30"/>
      <c r="P318" s="252">
        <f t="shared" si="93"/>
        <v>9990</v>
      </c>
      <c r="Q318" s="253">
        <f t="shared" si="94"/>
        <v>0</v>
      </c>
      <c r="R318" s="253">
        <f t="shared" si="95"/>
        <v>0</v>
      </c>
      <c r="S318" s="251">
        <f>SUMIFS('tuot-rehukirjanpito'!D:D,'tuot-rehukirjanpito'!A:A,A318)</f>
        <v>0</v>
      </c>
      <c r="T318" s="254">
        <f t="shared" si="89"/>
        <v>1098.9000000000001</v>
      </c>
      <c r="U318" s="254">
        <f t="shared" si="90"/>
        <v>1098.8999999999999</v>
      </c>
      <c r="V318" s="252">
        <f t="shared" si="91"/>
        <v>-347252.40000000084</v>
      </c>
      <c r="W318" s="255">
        <f t="shared" si="92"/>
        <v>-316.00000000000074</v>
      </c>
      <c r="X318" s="256" t="str">
        <f t="shared" si="96"/>
        <v/>
      </c>
      <c r="Y318" s="256" t="str">
        <f t="shared" si="97"/>
        <v/>
      </c>
      <c r="Z318" s="224" t="str">
        <f>IF(IFERROR(INDEX('tuot-rehukirjanpito'!I:I,MATCH(A318,'tuot-rehukirjanpito'!G:G,0)),)=0,"",INDEX('tuot-rehukirjanpito'!I:I,MATCH(A318,'tuot-rehukirjanpito'!G:G,0)))</f>
        <v/>
      </c>
      <c r="AA318" s="224">
        <f>SUMIFS('tuot-INFO'!$K$10:$K$115,'tuot-INFO'!$A$10:$A$115,'tuot-PVÄ'!B318)</f>
        <v>65.599999999999994</v>
      </c>
      <c r="AB318" s="224">
        <f>SUMIFS('rehu-vesi-INFO'!$R:$R,'rehu-vesi-INFO'!$A:$A,'tuot-PVÄ'!B318)</f>
        <v>1714</v>
      </c>
      <c r="AC318" s="224">
        <f>SUMIFS('rehu-vesi-INFO'!$S:$S,'rehu-vesi-INFO'!$A:$A,'tuot-PVÄ'!B318)</f>
        <v>1821</v>
      </c>
      <c r="AD318" s="224">
        <f t="shared" si="82"/>
        <v>107</v>
      </c>
      <c r="AE318" s="224">
        <f t="shared" si="83"/>
        <v>0</v>
      </c>
      <c r="AF318" s="224">
        <f t="shared" si="84"/>
        <v>171.4</v>
      </c>
      <c r="AG318" s="224">
        <f t="shared" si="85"/>
        <v>10.7</v>
      </c>
      <c r="AH318" s="257">
        <f t="shared" si="87"/>
        <v>0</v>
      </c>
      <c r="AI318" s="258">
        <f t="shared" si="88"/>
        <v>0</v>
      </c>
      <c r="AJ318" s="55">
        <f>SUMIFS('tuot-INFO'!W:W,'tuot-INFO'!$A:$A,'tuot-PVÄ'!B318)</f>
        <v>82.119</v>
      </c>
      <c r="AK318" s="55">
        <f>SUMIFS('tuot-INFO'!X:X,'tuot-INFO'!$A:$A,'tuot-PVÄ'!B318)</f>
        <v>8.8299999999999983</v>
      </c>
    </row>
    <row r="319" spans="1:37" x14ac:dyDescent="0.25">
      <c r="A319" s="169">
        <f t="shared" si="86"/>
        <v>42805</v>
      </c>
      <c r="B319" s="23">
        <f>ROUNDUP((A319-Yleistiedot!$B$4)/7,0)</f>
        <v>63</v>
      </c>
      <c r="C319" s="16"/>
      <c r="D319" s="25"/>
      <c r="E319" s="25"/>
      <c r="F319" s="25"/>
      <c r="G319" s="25"/>
      <c r="H319" s="25"/>
      <c r="I319" s="65">
        <f t="shared" si="81"/>
        <v>0</v>
      </c>
      <c r="J319" s="26"/>
      <c r="K319" s="25"/>
      <c r="L319" s="16"/>
      <c r="M319" s="16"/>
      <c r="N319" s="25"/>
      <c r="O319" s="30"/>
      <c r="P319" s="252">
        <f t="shared" si="93"/>
        <v>9990</v>
      </c>
      <c r="Q319" s="253">
        <f t="shared" si="94"/>
        <v>0</v>
      </c>
      <c r="R319" s="253">
        <f t="shared" si="95"/>
        <v>0</v>
      </c>
      <c r="S319" s="251">
        <f>SUMIFS('tuot-rehukirjanpito'!D:D,'tuot-rehukirjanpito'!A:A,A319)</f>
        <v>0</v>
      </c>
      <c r="T319" s="254">
        <f t="shared" si="89"/>
        <v>1098.9000000000001</v>
      </c>
      <c r="U319" s="254">
        <f t="shared" si="90"/>
        <v>1098.8999999999999</v>
      </c>
      <c r="V319" s="252">
        <f t="shared" si="91"/>
        <v>-348351.30000000086</v>
      </c>
      <c r="W319" s="255">
        <f t="shared" si="92"/>
        <v>-317.00000000000074</v>
      </c>
      <c r="X319" s="256" t="str">
        <f t="shared" si="96"/>
        <v/>
      </c>
      <c r="Y319" s="256" t="str">
        <f t="shared" si="97"/>
        <v/>
      </c>
      <c r="Z319" s="224" t="str">
        <f>IF(IFERROR(INDEX('tuot-rehukirjanpito'!I:I,MATCH(A319,'tuot-rehukirjanpito'!G:G,0)),)=0,"",INDEX('tuot-rehukirjanpito'!I:I,MATCH(A319,'tuot-rehukirjanpito'!G:G,0)))</f>
        <v/>
      </c>
      <c r="AA319" s="224">
        <f>SUMIFS('tuot-INFO'!$K$10:$K$115,'tuot-INFO'!$A$10:$A$115,'tuot-PVÄ'!B319)</f>
        <v>65.599999999999994</v>
      </c>
      <c r="AB319" s="224">
        <f>SUMIFS('rehu-vesi-INFO'!$R:$R,'rehu-vesi-INFO'!$A:$A,'tuot-PVÄ'!B319)</f>
        <v>1716</v>
      </c>
      <c r="AC319" s="224">
        <f>SUMIFS('rehu-vesi-INFO'!$S:$S,'rehu-vesi-INFO'!$A:$A,'tuot-PVÄ'!B319)</f>
        <v>1822</v>
      </c>
      <c r="AD319" s="224">
        <f t="shared" si="82"/>
        <v>106</v>
      </c>
      <c r="AE319" s="224">
        <f t="shared" si="83"/>
        <v>0</v>
      </c>
      <c r="AF319" s="224">
        <f t="shared" si="84"/>
        <v>171.6</v>
      </c>
      <c r="AG319" s="224">
        <f t="shared" si="85"/>
        <v>10.6</v>
      </c>
      <c r="AH319" s="257">
        <f t="shared" si="87"/>
        <v>0</v>
      </c>
      <c r="AI319" s="258">
        <f t="shared" si="88"/>
        <v>0</v>
      </c>
      <c r="AJ319" s="55">
        <f>SUMIFS('tuot-INFO'!W:W,'tuot-INFO'!$A:$A,'tuot-PVÄ'!B319)</f>
        <v>81.653999999999996</v>
      </c>
      <c r="AK319" s="55">
        <f>SUMIFS('tuot-INFO'!X:X,'tuot-INFO'!$A:$A,'tuot-PVÄ'!B319)</f>
        <v>8.7800000000000011</v>
      </c>
    </row>
    <row r="320" spans="1:37" x14ac:dyDescent="0.25">
      <c r="A320" s="169">
        <f t="shared" si="86"/>
        <v>42806</v>
      </c>
      <c r="B320" s="23">
        <f>ROUNDUP((A320-Yleistiedot!$B$4)/7,0)</f>
        <v>63</v>
      </c>
      <c r="C320" s="16"/>
      <c r="D320" s="25"/>
      <c r="E320" s="25"/>
      <c r="F320" s="25"/>
      <c r="G320" s="25"/>
      <c r="H320" s="25"/>
      <c r="I320" s="65">
        <f t="shared" si="81"/>
        <v>0</v>
      </c>
      <c r="J320" s="26"/>
      <c r="K320" s="25"/>
      <c r="L320" s="16"/>
      <c r="M320" s="16"/>
      <c r="N320" s="25"/>
      <c r="O320" s="30"/>
      <c r="P320" s="252">
        <f t="shared" si="93"/>
        <v>9990</v>
      </c>
      <c r="Q320" s="253">
        <f t="shared" si="94"/>
        <v>0</v>
      </c>
      <c r="R320" s="253">
        <f t="shared" si="95"/>
        <v>0</v>
      </c>
      <c r="S320" s="251">
        <f>SUMIFS('tuot-rehukirjanpito'!D:D,'tuot-rehukirjanpito'!A:A,A320)</f>
        <v>0</v>
      </c>
      <c r="T320" s="254">
        <f t="shared" si="89"/>
        <v>1098.9000000000001</v>
      </c>
      <c r="U320" s="254">
        <f t="shared" si="90"/>
        <v>1098.8999999999999</v>
      </c>
      <c r="V320" s="252">
        <f t="shared" si="91"/>
        <v>-349450.20000000088</v>
      </c>
      <c r="W320" s="255">
        <f t="shared" si="92"/>
        <v>-318.0000000000008</v>
      </c>
      <c r="X320" s="256" t="str">
        <f t="shared" si="96"/>
        <v/>
      </c>
      <c r="Y320" s="256" t="str">
        <f t="shared" si="97"/>
        <v/>
      </c>
      <c r="Z320" s="224" t="str">
        <f>IF(IFERROR(INDEX('tuot-rehukirjanpito'!I:I,MATCH(A320,'tuot-rehukirjanpito'!G:G,0)),)=0,"",INDEX('tuot-rehukirjanpito'!I:I,MATCH(A320,'tuot-rehukirjanpito'!G:G,0)))</f>
        <v/>
      </c>
      <c r="AA320" s="224">
        <f>SUMIFS('tuot-INFO'!$K$10:$K$115,'tuot-INFO'!$A$10:$A$115,'tuot-PVÄ'!B320)</f>
        <v>65.599999999999994</v>
      </c>
      <c r="AB320" s="224">
        <f>SUMIFS('rehu-vesi-INFO'!$R:$R,'rehu-vesi-INFO'!$A:$A,'tuot-PVÄ'!B320)</f>
        <v>1716</v>
      </c>
      <c r="AC320" s="224">
        <f>SUMIFS('rehu-vesi-INFO'!$S:$S,'rehu-vesi-INFO'!$A:$A,'tuot-PVÄ'!B320)</f>
        <v>1822</v>
      </c>
      <c r="AD320" s="224">
        <f t="shared" si="82"/>
        <v>106</v>
      </c>
      <c r="AE320" s="224">
        <f t="shared" si="83"/>
        <v>0</v>
      </c>
      <c r="AF320" s="224">
        <f t="shared" si="84"/>
        <v>171.6</v>
      </c>
      <c r="AG320" s="224">
        <f t="shared" si="85"/>
        <v>10.6</v>
      </c>
      <c r="AH320" s="257">
        <f t="shared" si="87"/>
        <v>0</v>
      </c>
      <c r="AI320" s="258">
        <f t="shared" si="88"/>
        <v>0</v>
      </c>
      <c r="AJ320" s="55">
        <f>SUMIFS('tuot-INFO'!W:W,'tuot-INFO'!$A:$A,'tuot-PVÄ'!B320)</f>
        <v>81.653999999999996</v>
      </c>
      <c r="AK320" s="55">
        <f>SUMIFS('tuot-INFO'!X:X,'tuot-INFO'!$A:$A,'tuot-PVÄ'!B320)</f>
        <v>8.7800000000000011</v>
      </c>
    </row>
    <row r="321" spans="1:37" x14ac:dyDescent="0.25">
      <c r="A321" s="169">
        <f t="shared" si="86"/>
        <v>42807</v>
      </c>
      <c r="B321" s="23">
        <f>ROUNDUP((A321-Yleistiedot!$B$4)/7,0)</f>
        <v>63</v>
      </c>
      <c r="C321" s="16"/>
      <c r="D321" s="25"/>
      <c r="E321" s="25"/>
      <c r="F321" s="25"/>
      <c r="G321" s="25"/>
      <c r="H321" s="25"/>
      <c r="I321" s="65">
        <f t="shared" si="81"/>
        <v>0</v>
      </c>
      <c r="J321" s="26"/>
      <c r="K321" s="25"/>
      <c r="L321" s="16"/>
      <c r="M321" s="16"/>
      <c r="N321" s="25"/>
      <c r="O321" s="30"/>
      <c r="P321" s="252">
        <f t="shared" si="93"/>
        <v>9990</v>
      </c>
      <c r="Q321" s="253">
        <f t="shared" si="94"/>
        <v>0</v>
      </c>
      <c r="R321" s="253">
        <f t="shared" si="95"/>
        <v>0</v>
      </c>
      <c r="S321" s="251">
        <f>SUMIFS('tuot-rehukirjanpito'!D:D,'tuot-rehukirjanpito'!A:A,A321)</f>
        <v>0</v>
      </c>
      <c r="T321" s="254">
        <f t="shared" si="89"/>
        <v>1098.9000000000001</v>
      </c>
      <c r="U321" s="254">
        <f t="shared" si="90"/>
        <v>1098.8999999999999</v>
      </c>
      <c r="V321" s="252">
        <f t="shared" si="91"/>
        <v>-350549.10000000091</v>
      </c>
      <c r="W321" s="255">
        <f t="shared" si="92"/>
        <v>-319.0000000000008</v>
      </c>
      <c r="X321" s="256" t="str">
        <f t="shared" si="96"/>
        <v/>
      </c>
      <c r="Y321" s="256" t="str">
        <f t="shared" si="97"/>
        <v/>
      </c>
      <c r="Z321" s="224" t="str">
        <f>IF(IFERROR(INDEX('tuot-rehukirjanpito'!I:I,MATCH(A321,'tuot-rehukirjanpito'!G:G,0)),)=0,"",INDEX('tuot-rehukirjanpito'!I:I,MATCH(A321,'tuot-rehukirjanpito'!G:G,0)))</f>
        <v/>
      </c>
      <c r="AA321" s="224">
        <f>SUMIFS('tuot-INFO'!$K$10:$K$115,'tuot-INFO'!$A$10:$A$115,'tuot-PVÄ'!B321)</f>
        <v>65.599999999999994</v>
      </c>
      <c r="AB321" s="224">
        <f>SUMIFS('rehu-vesi-INFO'!$R:$R,'rehu-vesi-INFO'!$A:$A,'tuot-PVÄ'!B321)</f>
        <v>1716</v>
      </c>
      <c r="AC321" s="224">
        <f>SUMIFS('rehu-vesi-INFO'!$S:$S,'rehu-vesi-INFO'!$A:$A,'tuot-PVÄ'!B321)</f>
        <v>1822</v>
      </c>
      <c r="AD321" s="224">
        <f t="shared" si="82"/>
        <v>106</v>
      </c>
      <c r="AE321" s="224">
        <f t="shared" si="83"/>
        <v>0</v>
      </c>
      <c r="AF321" s="224">
        <f t="shared" si="84"/>
        <v>171.6</v>
      </c>
      <c r="AG321" s="224">
        <f t="shared" si="85"/>
        <v>10.6</v>
      </c>
      <c r="AH321" s="257">
        <f t="shared" si="87"/>
        <v>0</v>
      </c>
      <c r="AI321" s="258">
        <f t="shared" si="88"/>
        <v>0</v>
      </c>
      <c r="AJ321" s="55">
        <f>SUMIFS('tuot-INFO'!W:W,'tuot-INFO'!$A:$A,'tuot-PVÄ'!B321)</f>
        <v>81.653999999999996</v>
      </c>
      <c r="AK321" s="55">
        <f>SUMIFS('tuot-INFO'!X:X,'tuot-INFO'!$A:$A,'tuot-PVÄ'!B321)</f>
        <v>8.7800000000000011</v>
      </c>
    </row>
    <row r="322" spans="1:37" x14ac:dyDescent="0.25">
      <c r="A322" s="169">
        <f t="shared" si="86"/>
        <v>42808</v>
      </c>
      <c r="B322" s="23">
        <f>ROUNDUP((A322-Yleistiedot!$B$4)/7,0)</f>
        <v>63</v>
      </c>
      <c r="C322" s="16"/>
      <c r="D322" s="25"/>
      <c r="E322" s="25"/>
      <c r="F322" s="25"/>
      <c r="G322" s="25"/>
      <c r="H322" s="25"/>
      <c r="I322" s="65">
        <f t="shared" si="81"/>
        <v>0</v>
      </c>
      <c r="J322" s="26"/>
      <c r="K322" s="25"/>
      <c r="L322" s="16"/>
      <c r="M322" s="16"/>
      <c r="N322" s="25"/>
      <c r="O322" s="30"/>
      <c r="P322" s="252">
        <f t="shared" si="93"/>
        <v>9990</v>
      </c>
      <c r="Q322" s="253">
        <f t="shared" si="94"/>
        <v>0</v>
      </c>
      <c r="R322" s="253">
        <f t="shared" si="95"/>
        <v>0</v>
      </c>
      <c r="S322" s="251">
        <f>SUMIFS('tuot-rehukirjanpito'!D:D,'tuot-rehukirjanpito'!A:A,A322)</f>
        <v>0</v>
      </c>
      <c r="T322" s="254">
        <f t="shared" si="89"/>
        <v>1098.9000000000001</v>
      </c>
      <c r="U322" s="254">
        <f t="shared" si="90"/>
        <v>1098.8999999999999</v>
      </c>
      <c r="V322" s="252">
        <f t="shared" si="91"/>
        <v>-351648.00000000093</v>
      </c>
      <c r="W322" s="255">
        <f t="shared" si="92"/>
        <v>-320.0000000000008</v>
      </c>
      <c r="X322" s="256" t="str">
        <f t="shared" si="96"/>
        <v/>
      </c>
      <c r="Y322" s="256" t="str">
        <f t="shared" si="97"/>
        <v/>
      </c>
      <c r="Z322" s="224" t="str">
        <f>IF(IFERROR(INDEX('tuot-rehukirjanpito'!I:I,MATCH(A322,'tuot-rehukirjanpito'!G:G,0)),)=0,"",INDEX('tuot-rehukirjanpito'!I:I,MATCH(A322,'tuot-rehukirjanpito'!G:G,0)))</f>
        <v/>
      </c>
      <c r="AA322" s="224">
        <f>SUMIFS('tuot-INFO'!$K$10:$K$115,'tuot-INFO'!$A$10:$A$115,'tuot-PVÄ'!B322)</f>
        <v>65.599999999999994</v>
      </c>
      <c r="AB322" s="224">
        <f>SUMIFS('rehu-vesi-INFO'!$R:$R,'rehu-vesi-INFO'!$A:$A,'tuot-PVÄ'!B322)</f>
        <v>1716</v>
      </c>
      <c r="AC322" s="224">
        <f>SUMIFS('rehu-vesi-INFO'!$S:$S,'rehu-vesi-INFO'!$A:$A,'tuot-PVÄ'!B322)</f>
        <v>1822</v>
      </c>
      <c r="AD322" s="224">
        <f t="shared" si="82"/>
        <v>106</v>
      </c>
      <c r="AE322" s="224">
        <f t="shared" si="83"/>
        <v>0</v>
      </c>
      <c r="AF322" s="224">
        <f t="shared" si="84"/>
        <v>171.6</v>
      </c>
      <c r="AG322" s="224">
        <f t="shared" si="85"/>
        <v>10.6</v>
      </c>
      <c r="AH322" s="257">
        <f t="shared" si="87"/>
        <v>0</v>
      </c>
      <c r="AI322" s="258">
        <f t="shared" si="88"/>
        <v>0</v>
      </c>
      <c r="AJ322" s="55">
        <f>SUMIFS('tuot-INFO'!W:W,'tuot-INFO'!$A:$A,'tuot-PVÄ'!B322)</f>
        <v>81.653999999999996</v>
      </c>
      <c r="AK322" s="55">
        <f>SUMIFS('tuot-INFO'!X:X,'tuot-INFO'!$A:$A,'tuot-PVÄ'!B322)</f>
        <v>8.7800000000000011</v>
      </c>
    </row>
    <row r="323" spans="1:37" x14ac:dyDescent="0.25">
      <c r="A323" s="169">
        <f t="shared" si="86"/>
        <v>42809</v>
      </c>
      <c r="B323" s="23">
        <f>ROUNDUP((A323-Yleistiedot!$B$4)/7,0)</f>
        <v>63</v>
      </c>
      <c r="C323" s="16"/>
      <c r="D323" s="25"/>
      <c r="E323" s="25"/>
      <c r="F323" s="25"/>
      <c r="G323" s="25"/>
      <c r="H323" s="25"/>
      <c r="I323" s="65">
        <f t="shared" si="81"/>
        <v>0</v>
      </c>
      <c r="J323" s="26"/>
      <c r="K323" s="25"/>
      <c r="L323" s="16"/>
      <c r="M323" s="16"/>
      <c r="N323" s="25"/>
      <c r="O323" s="30"/>
      <c r="P323" s="252">
        <f t="shared" si="93"/>
        <v>9990</v>
      </c>
      <c r="Q323" s="253">
        <f t="shared" si="94"/>
        <v>0</v>
      </c>
      <c r="R323" s="253">
        <f t="shared" si="95"/>
        <v>0</v>
      </c>
      <c r="S323" s="251">
        <f>SUMIFS('tuot-rehukirjanpito'!D:D,'tuot-rehukirjanpito'!A:A,A323)</f>
        <v>0</v>
      </c>
      <c r="T323" s="254">
        <f t="shared" si="89"/>
        <v>1098.9000000000001</v>
      </c>
      <c r="U323" s="254">
        <f t="shared" si="90"/>
        <v>1098.8999999999999</v>
      </c>
      <c r="V323" s="252">
        <f t="shared" si="91"/>
        <v>-352746.90000000095</v>
      </c>
      <c r="W323" s="255">
        <f t="shared" si="92"/>
        <v>-321.00000000000085</v>
      </c>
      <c r="X323" s="256" t="str">
        <f t="shared" si="96"/>
        <v/>
      </c>
      <c r="Y323" s="256" t="str">
        <f t="shared" si="97"/>
        <v/>
      </c>
      <c r="Z323" s="224" t="str">
        <f>IF(IFERROR(INDEX('tuot-rehukirjanpito'!I:I,MATCH(A323,'tuot-rehukirjanpito'!G:G,0)),)=0,"",INDEX('tuot-rehukirjanpito'!I:I,MATCH(A323,'tuot-rehukirjanpito'!G:G,0)))</f>
        <v/>
      </c>
      <c r="AA323" s="224">
        <f>SUMIFS('tuot-INFO'!$K$10:$K$115,'tuot-INFO'!$A$10:$A$115,'tuot-PVÄ'!B323)</f>
        <v>65.599999999999994</v>
      </c>
      <c r="AB323" s="224">
        <f>SUMIFS('rehu-vesi-INFO'!$R:$R,'rehu-vesi-INFO'!$A:$A,'tuot-PVÄ'!B323)</f>
        <v>1716</v>
      </c>
      <c r="AC323" s="224">
        <f>SUMIFS('rehu-vesi-INFO'!$S:$S,'rehu-vesi-INFO'!$A:$A,'tuot-PVÄ'!B323)</f>
        <v>1822</v>
      </c>
      <c r="AD323" s="224">
        <f t="shared" si="82"/>
        <v>106</v>
      </c>
      <c r="AE323" s="224">
        <f t="shared" si="83"/>
        <v>0</v>
      </c>
      <c r="AF323" s="224">
        <f t="shared" si="84"/>
        <v>171.6</v>
      </c>
      <c r="AG323" s="224">
        <f t="shared" si="85"/>
        <v>10.6</v>
      </c>
      <c r="AH323" s="257">
        <f t="shared" si="87"/>
        <v>0</v>
      </c>
      <c r="AI323" s="258">
        <f t="shared" si="88"/>
        <v>0</v>
      </c>
      <c r="AJ323" s="55">
        <f>SUMIFS('tuot-INFO'!W:W,'tuot-INFO'!$A:$A,'tuot-PVÄ'!B323)</f>
        <v>81.653999999999996</v>
      </c>
      <c r="AK323" s="55">
        <f>SUMIFS('tuot-INFO'!X:X,'tuot-INFO'!$A:$A,'tuot-PVÄ'!B323)</f>
        <v>8.7800000000000011</v>
      </c>
    </row>
    <row r="324" spans="1:37" x14ac:dyDescent="0.25">
      <c r="A324" s="169">
        <f t="shared" si="86"/>
        <v>42810</v>
      </c>
      <c r="B324" s="23">
        <f>ROUNDUP((A324-Yleistiedot!$B$4)/7,0)</f>
        <v>63</v>
      </c>
      <c r="C324" s="16"/>
      <c r="D324" s="25"/>
      <c r="E324" s="25"/>
      <c r="F324" s="25"/>
      <c r="G324" s="25"/>
      <c r="H324" s="25"/>
      <c r="I324" s="65">
        <f t="shared" ref="I324:I387" si="98">SUM(E324:H324)</f>
        <v>0</v>
      </c>
      <c r="J324" s="26"/>
      <c r="K324" s="25"/>
      <c r="L324" s="16"/>
      <c r="M324" s="16"/>
      <c r="N324" s="25"/>
      <c r="O324" s="30"/>
      <c r="P324" s="252">
        <f t="shared" si="93"/>
        <v>9990</v>
      </c>
      <c r="Q324" s="253">
        <f t="shared" si="94"/>
        <v>0</v>
      </c>
      <c r="R324" s="253">
        <f t="shared" si="95"/>
        <v>0</v>
      </c>
      <c r="S324" s="251">
        <f>SUMIFS('tuot-rehukirjanpito'!D:D,'tuot-rehukirjanpito'!A:A,A324)</f>
        <v>0</v>
      </c>
      <c r="T324" s="254">
        <f t="shared" si="89"/>
        <v>1098.9000000000001</v>
      </c>
      <c r="U324" s="254">
        <f t="shared" si="90"/>
        <v>1098.8999999999999</v>
      </c>
      <c r="V324" s="252">
        <f t="shared" si="91"/>
        <v>-353845.80000000098</v>
      </c>
      <c r="W324" s="255">
        <f t="shared" si="92"/>
        <v>-322.00000000000085</v>
      </c>
      <c r="X324" s="256" t="str">
        <f t="shared" si="96"/>
        <v/>
      </c>
      <c r="Y324" s="256" t="str">
        <f t="shared" si="97"/>
        <v/>
      </c>
      <c r="Z324" s="224" t="str">
        <f>IF(IFERROR(INDEX('tuot-rehukirjanpito'!I:I,MATCH(A324,'tuot-rehukirjanpito'!G:G,0)),)=0,"",INDEX('tuot-rehukirjanpito'!I:I,MATCH(A324,'tuot-rehukirjanpito'!G:G,0)))</f>
        <v/>
      </c>
      <c r="AA324" s="224">
        <f>SUMIFS('tuot-INFO'!$K$10:$K$115,'tuot-INFO'!$A$10:$A$115,'tuot-PVÄ'!B324)</f>
        <v>65.599999999999994</v>
      </c>
      <c r="AB324" s="224">
        <f>SUMIFS('rehu-vesi-INFO'!$R:$R,'rehu-vesi-INFO'!$A:$A,'tuot-PVÄ'!B324)</f>
        <v>1716</v>
      </c>
      <c r="AC324" s="224">
        <f>SUMIFS('rehu-vesi-INFO'!$S:$S,'rehu-vesi-INFO'!$A:$A,'tuot-PVÄ'!B324)</f>
        <v>1822</v>
      </c>
      <c r="AD324" s="224">
        <f t="shared" ref="AD324:AD387" si="99">AC324-AB324</f>
        <v>106</v>
      </c>
      <c r="AE324" s="224">
        <f t="shared" ref="AE324:AE387" si="100">K324/10</f>
        <v>0</v>
      </c>
      <c r="AF324" s="224">
        <f t="shared" ref="AF324:AF387" si="101">AB324/10</f>
        <v>171.6</v>
      </c>
      <c r="AG324" s="224">
        <f t="shared" ref="AG324:AG387" si="102">AD324/10</f>
        <v>10.6</v>
      </c>
      <c r="AH324" s="257">
        <f t="shared" si="87"/>
        <v>0</v>
      </c>
      <c r="AI324" s="258">
        <f t="shared" si="88"/>
        <v>0</v>
      </c>
      <c r="AJ324" s="55">
        <f>SUMIFS('tuot-INFO'!W:W,'tuot-INFO'!$A:$A,'tuot-PVÄ'!B324)</f>
        <v>81.653999999999996</v>
      </c>
      <c r="AK324" s="55">
        <f>SUMIFS('tuot-INFO'!X:X,'tuot-INFO'!$A:$A,'tuot-PVÄ'!B324)</f>
        <v>8.7800000000000011</v>
      </c>
    </row>
    <row r="325" spans="1:37" x14ac:dyDescent="0.25">
      <c r="A325" s="169">
        <f t="shared" ref="A325:A388" si="103">A324+1</f>
        <v>42811</v>
      </c>
      <c r="B325" s="23">
        <f>ROUNDUP((A325-Yleistiedot!$B$4)/7,0)</f>
        <v>63</v>
      </c>
      <c r="C325" s="16"/>
      <c r="D325" s="25"/>
      <c r="E325" s="25"/>
      <c r="F325" s="25"/>
      <c r="G325" s="25"/>
      <c r="H325" s="25"/>
      <c r="I325" s="65">
        <f t="shared" si="98"/>
        <v>0</v>
      </c>
      <c r="J325" s="26"/>
      <c r="K325" s="25"/>
      <c r="L325" s="16"/>
      <c r="M325" s="16"/>
      <c r="N325" s="25"/>
      <c r="O325" s="30"/>
      <c r="P325" s="252">
        <f t="shared" si="93"/>
        <v>9990</v>
      </c>
      <c r="Q325" s="253">
        <f t="shared" si="94"/>
        <v>0</v>
      </c>
      <c r="R325" s="253">
        <f t="shared" si="95"/>
        <v>0</v>
      </c>
      <c r="S325" s="251">
        <f>SUMIFS('tuot-rehukirjanpito'!D:D,'tuot-rehukirjanpito'!A:A,A325)</f>
        <v>0</v>
      </c>
      <c r="T325" s="254">
        <f t="shared" si="89"/>
        <v>1098.9000000000001</v>
      </c>
      <c r="U325" s="254">
        <f t="shared" si="90"/>
        <v>1098.8999999999999</v>
      </c>
      <c r="V325" s="252">
        <f t="shared" si="91"/>
        <v>-354944.700000001</v>
      </c>
      <c r="W325" s="255">
        <f t="shared" si="92"/>
        <v>-323.00000000000091</v>
      </c>
      <c r="X325" s="256" t="str">
        <f t="shared" si="96"/>
        <v/>
      </c>
      <c r="Y325" s="256" t="str">
        <f t="shared" si="97"/>
        <v/>
      </c>
      <c r="Z325" s="224" t="str">
        <f>IF(IFERROR(INDEX('tuot-rehukirjanpito'!I:I,MATCH(A325,'tuot-rehukirjanpito'!G:G,0)),)=0,"",INDEX('tuot-rehukirjanpito'!I:I,MATCH(A325,'tuot-rehukirjanpito'!G:G,0)))</f>
        <v/>
      </c>
      <c r="AA325" s="224">
        <f>SUMIFS('tuot-INFO'!$K$10:$K$115,'tuot-INFO'!$A$10:$A$115,'tuot-PVÄ'!B325)</f>
        <v>65.599999999999994</v>
      </c>
      <c r="AB325" s="224">
        <f>SUMIFS('rehu-vesi-INFO'!$R:$R,'rehu-vesi-INFO'!$A:$A,'tuot-PVÄ'!B325)</f>
        <v>1716</v>
      </c>
      <c r="AC325" s="224">
        <f>SUMIFS('rehu-vesi-INFO'!$S:$S,'rehu-vesi-INFO'!$A:$A,'tuot-PVÄ'!B325)</f>
        <v>1822</v>
      </c>
      <c r="AD325" s="224">
        <f t="shared" si="99"/>
        <v>106</v>
      </c>
      <c r="AE325" s="224">
        <f t="shared" si="100"/>
        <v>0</v>
      </c>
      <c r="AF325" s="224">
        <f t="shared" si="101"/>
        <v>171.6</v>
      </c>
      <c r="AG325" s="224">
        <f t="shared" si="102"/>
        <v>10.6</v>
      </c>
      <c r="AH325" s="257">
        <f t="shared" si="87"/>
        <v>0</v>
      </c>
      <c r="AI325" s="258">
        <f t="shared" si="88"/>
        <v>0</v>
      </c>
      <c r="AJ325" s="55">
        <f>SUMIFS('tuot-INFO'!W:W,'tuot-INFO'!$A:$A,'tuot-PVÄ'!B325)</f>
        <v>81.653999999999996</v>
      </c>
      <c r="AK325" s="55">
        <f>SUMIFS('tuot-INFO'!X:X,'tuot-INFO'!$A:$A,'tuot-PVÄ'!B325)</f>
        <v>8.7800000000000011</v>
      </c>
    </row>
    <row r="326" spans="1:37" x14ac:dyDescent="0.25">
      <c r="A326" s="169">
        <f t="shared" si="103"/>
        <v>42812</v>
      </c>
      <c r="B326" s="23">
        <f>ROUNDUP((A326-Yleistiedot!$B$4)/7,0)</f>
        <v>64</v>
      </c>
      <c r="C326" s="16"/>
      <c r="D326" s="25"/>
      <c r="E326" s="25"/>
      <c r="F326" s="25"/>
      <c r="G326" s="25"/>
      <c r="H326" s="25"/>
      <c r="I326" s="65">
        <f t="shared" si="98"/>
        <v>0</v>
      </c>
      <c r="J326" s="26"/>
      <c r="K326" s="25"/>
      <c r="L326" s="16"/>
      <c r="M326" s="16"/>
      <c r="N326" s="25"/>
      <c r="O326" s="30"/>
      <c r="P326" s="252">
        <f t="shared" si="93"/>
        <v>9990</v>
      </c>
      <c r="Q326" s="253">
        <f t="shared" si="94"/>
        <v>0</v>
      </c>
      <c r="R326" s="253">
        <f t="shared" si="95"/>
        <v>0</v>
      </c>
      <c r="S326" s="251">
        <f>SUMIFS('tuot-rehukirjanpito'!D:D,'tuot-rehukirjanpito'!A:A,A326)</f>
        <v>0</v>
      </c>
      <c r="T326" s="254">
        <f t="shared" si="89"/>
        <v>1098.9000000000001</v>
      </c>
      <c r="U326" s="254">
        <f t="shared" si="90"/>
        <v>1098.8999999999999</v>
      </c>
      <c r="V326" s="252">
        <f t="shared" si="91"/>
        <v>-356043.60000000102</v>
      </c>
      <c r="W326" s="255">
        <f t="shared" si="92"/>
        <v>-324.00000000000091</v>
      </c>
      <c r="X326" s="256" t="str">
        <f t="shared" si="96"/>
        <v/>
      </c>
      <c r="Y326" s="256" t="str">
        <f t="shared" si="97"/>
        <v/>
      </c>
      <c r="Z326" s="224" t="str">
        <f>IF(IFERROR(INDEX('tuot-rehukirjanpito'!I:I,MATCH(A326,'tuot-rehukirjanpito'!G:G,0)),)=0,"",INDEX('tuot-rehukirjanpito'!I:I,MATCH(A326,'tuot-rehukirjanpito'!G:G,0)))</f>
        <v/>
      </c>
      <c r="AA326" s="224">
        <f>SUMIFS('tuot-INFO'!$K$10:$K$115,'tuot-INFO'!$A$10:$A$115,'tuot-PVÄ'!B326)</f>
        <v>65.599999999999994</v>
      </c>
      <c r="AB326" s="224">
        <f>SUMIFS('rehu-vesi-INFO'!$R:$R,'rehu-vesi-INFO'!$A:$A,'tuot-PVÄ'!B326)</f>
        <v>1717</v>
      </c>
      <c r="AC326" s="224">
        <f>SUMIFS('rehu-vesi-INFO'!$S:$S,'rehu-vesi-INFO'!$A:$A,'tuot-PVÄ'!B326)</f>
        <v>1823</v>
      </c>
      <c r="AD326" s="224">
        <f t="shared" si="99"/>
        <v>106</v>
      </c>
      <c r="AE326" s="224">
        <f t="shared" si="100"/>
        <v>0</v>
      </c>
      <c r="AF326" s="224">
        <f t="shared" si="101"/>
        <v>171.7</v>
      </c>
      <c r="AG326" s="224">
        <f t="shared" si="102"/>
        <v>10.6</v>
      </c>
      <c r="AH326" s="257">
        <f t="shared" ref="AH326:AH389" si="104">IFERROR(AVERAGE(L324:L326),)</f>
        <v>0</v>
      </c>
      <c r="AI326" s="258">
        <f t="shared" ref="AI326:AI389" si="105">AVERAGE(Q325+R325,Q326+R326,Q324+R324)</f>
        <v>0</v>
      </c>
      <c r="AJ326" s="55">
        <f>SUMIFS('tuot-INFO'!W:W,'tuot-INFO'!$A:$A,'tuot-PVÄ'!B326)</f>
        <v>81.096000000000004</v>
      </c>
      <c r="AK326" s="55">
        <f>SUMIFS('tuot-INFO'!X:X,'tuot-INFO'!$A:$A,'tuot-PVÄ'!B326)</f>
        <v>8.7199999999999989</v>
      </c>
    </row>
    <row r="327" spans="1:37" x14ac:dyDescent="0.25">
      <c r="A327" s="169">
        <f t="shared" si="103"/>
        <v>42813</v>
      </c>
      <c r="B327" s="23">
        <f>ROUNDUP((A327-Yleistiedot!$B$4)/7,0)</f>
        <v>64</v>
      </c>
      <c r="C327" s="16"/>
      <c r="D327" s="25"/>
      <c r="E327" s="25"/>
      <c r="F327" s="25"/>
      <c r="G327" s="25"/>
      <c r="H327" s="25"/>
      <c r="I327" s="65">
        <f t="shared" si="98"/>
        <v>0</v>
      </c>
      <c r="J327" s="26"/>
      <c r="K327" s="25"/>
      <c r="L327" s="16"/>
      <c r="M327" s="16"/>
      <c r="N327" s="25"/>
      <c r="O327" s="30"/>
      <c r="P327" s="252">
        <f t="shared" si="93"/>
        <v>9990</v>
      </c>
      <c r="Q327" s="253">
        <f t="shared" si="94"/>
        <v>0</v>
      </c>
      <c r="R327" s="253">
        <f t="shared" si="95"/>
        <v>0</v>
      </c>
      <c r="S327" s="251">
        <f>SUMIFS('tuot-rehukirjanpito'!D:D,'tuot-rehukirjanpito'!A:A,A327)</f>
        <v>0</v>
      </c>
      <c r="T327" s="254">
        <f t="shared" si="89"/>
        <v>1098.9000000000001</v>
      </c>
      <c r="U327" s="254">
        <f t="shared" si="90"/>
        <v>1098.8999999999999</v>
      </c>
      <c r="V327" s="252">
        <f t="shared" si="91"/>
        <v>-357142.50000000105</v>
      </c>
      <c r="W327" s="255">
        <f t="shared" si="92"/>
        <v>-325.00000000000091</v>
      </c>
      <c r="X327" s="256" t="str">
        <f t="shared" si="96"/>
        <v/>
      </c>
      <c r="Y327" s="256" t="str">
        <f t="shared" si="97"/>
        <v/>
      </c>
      <c r="Z327" s="224" t="str">
        <f>IF(IFERROR(INDEX('tuot-rehukirjanpito'!I:I,MATCH(A327,'tuot-rehukirjanpito'!G:G,0)),)=0,"",INDEX('tuot-rehukirjanpito'!I:I,MATCH(A327,'tuot-rehukirjanpito'!G:G,0)))</f>
        <v/>
      </c>
      <c r="AA327" s="224">
        <f>SUMIFS('tuot-INFO'!$K$10:$K$115,'tuot-INFO'!$A$10:$A$115,'tuot-PVÄ'!B327)</f>
        <v>65.599999999999994</v>
      </c>
      <c r="AB327" s="224">
        <f>SUMIFS('rehu-vesi-INFO'!$R:$R,'rehu-vesi-INFO'!$A:$A,'tuot-PVÄ'!B327)</f>
        <v>1717</v>
      </c>
      <c r="AC327" s="224">
        <f>SUMIFS('rehu-vesi-INFO'!$S:$S,'rehu-vesi-INFO'!$A:$A,'tuot-PVÄ'!B327)</f>
        <v>1823</v>
      </c>
      <c r="AD327" s="224">
        <f t="shared" si="99"/>
        <v>106</v>
      </c>
      <c r="AE327" s="224">
        <f t="shared" si="100"/>
        <v>0</v>
      </c>
      <c r="AF327" s="224">
        <f t="shared" si="101"/>
        <v>171.7</v>
      </c>
      <c r="AG327" s="224">
        <f t="shared" si="102"/>
        <v>10.6</v>
      </c>
      <c r="AH327" s="257">
        <f t="shared" si="104"/>
        <v>0</v>
      </c>
      <c r="AI327" s="258">
        <f t="shared" si="105"/>
        <v>0</v>
      </c>
      <c r="AJ327" s="55">
        <f>SUMIFS('tuot-INFO'!W:W,'tuot-INFO'!$A:$A,'tuot-PVÄ'!B327)</f>
        <v>81.096000000000004</v>
      </c>
      <c r="AK327" s="55">
        <f>SUMIFS('tuot-INFO'!X:X,'tuot-INFO'!$A:$A,'tuot-PVÄ'!B327)</f>
        <v>8.7199999999999989</v>
      </c>
    </row>
    <row r="328" spans="1:37" x14ac:dyDescent="0.25">
      <c r="A328" s="169">
        <f t="shared" si="103"/>
        <v>42814</v>
      </c>
      <c r="B328" s="23">
        <f>ROUNDUP((A328-Yleistiedot!$B$4)/7,0)</f>
        <v>64</v>
      </c>
      <c r="C328" s="16"/>
      <c r="D328" s="25"/>
      <c r="E328" s="25"/>
      <c r="F328" s="25"/>
      <c r="G328" s="25"/>
      <c r="H328" s="25"/>
      <c r="I328" s="65">
        <f t="shared" si="98"/>
        <v>0</v>
      </c>
      <c r="J328" s="26"/>
      <c r="K328" s="25"/>
      <c r="L328" s="16"/>
      <c r="M328" s="16"/>
      <c r="N328" s="25"/>
      <c r="O328" s="30"/>
      <c r="P328" s="252">
        <f t="shared" si="93"/>
        <v>9990</v>
      </c>
      <c r="Q328" s="253">
        <f t="shared" si="94"/>
        <v>0</v>
      </c>
      <c r="R328" s="253">
        <f t="shared" si="95"/>
        <v>0</v>
      </c>
      <c r="S328" s="251">
        <f>SUMIFS('tuot-rehukirjanpito'!D:D,'tuot-rehukirjanpito'!A:A,A328)</f>
        <v>0</v>
      </c>
      <c r="T328" s="254">
        <f t="shared" ref="T328:T391" si="106">IF(L328&gt;0,P328*L328/1000,T327)</f>
        <v>1098.9000000000001</v>
      </c>
      <c r="U328" s="254">
        <f t="shared" ref="U328:U391" si="107">IFERROR(AVERAGEIF(T322:T328,"&lt;&gt;0"),0)</f>
        <v>1098.8999999999999</v>
      </c>
      <c r="V328" s="252">
        <f t="shared" ref="V328:V391" si="108">V327+S328-T328</f>
        <v>-358241.40000000107</v>
      </c>
      <c r="W328" s="255">
        <f t="shared" ref="W328:W391" si="109">IFERROR(V328/T328,"")</f>
        <v>-326.00000000000097</v>
      </c>
      <c r="X328" s="256" t="str">
        <f t="shared" si="96"/>
        <v/>
      </c>
      <c r="Y328" s="256" t="str">
        <f t="shared" si="97"/>
        <v/>
      </c>
      <c r="Z328" s="224" t="str">
        <f>IF(IFERROR(INDEX('tuot-rehukirjanpito'!I:I,MATCH(A328,'tuot-rehukirjanpito'!G:G,0)),)=0,"",INDEX('tuot-rehukirjanpito'!I:I,MATCH(A328,'tuot-rehukirjanpito'!G:G,0)))</f>
        <v/>
      </c>
      <c r="AA328" s="224">
        <f>SUMIFS('tuot-INFO'!$K$10:$K$115,'tuot-INFO'!$A$10:$A$115,'tuot-PVÄ'!B328)</f>
        <v>65.599999999999994</v>
      </c>
      <c r="AB328" s="224">
        <f>SUMIFS('rehu-vesi-INFO'!$R:$R,'rehu-vesi-INFO'!$A:$A,'tuot-PVÄ'!B328)</f>
        <v>1717</v>
      </c>
      <c r="AC328" s="224">
        <f>SUMIFS('rehu-vesi-INFO'!$S:$S,'rehu-vesi-INFO'!$A:$A,'tuot-PVÄ'!B328)</f>
        <v>1823</v>
      </c>
      <c r="AD328" s="224">
        <f t="shared" si="99"/>
        <v>106</v>
      </c>
      <c r="AE328" s="224">
        <f t="shared" si="100"/>
        <v>0</v>
      </c>
      <c r="AF328" s="224">
        <f t="shared" si="101"/>
        <v>171.7</v>
      </c>
      <c r="AG328" s="224">
        <f t="shared" si="102"/>
        <v>10.6</v>
      </c>
      <c r="AH328" s="257">
        <f t="shared" si="104"/>
        <v>0</v>
      </c>
      <c r="AI328" s="258">
        <f t="shared" si="105"/>
        <v>0</v>
      </c>
      <c r="AJ328" s="55">
        <f>SUMIFS('tuot-INFO'!W:W,'tuot-INFO'!$A:$A,'tuot-PVÄ'!B328)</f>
        <v>81.096000000000004</v>
      </c>
      <c r="AK328" s="55">
        <f>SUMIFS('tuot-INFO'!X:X,'tuot-INFO'!$A:$A,'tuot-PVÄ'!B328)</f>
        <v>8.7199999999999989</v>
      </c>
    </row>
    <row r="329" spans="1:37" x14ac:dyDescent="0.25">
      <c r="A329" s="169">
        <f t="shared" si="103"/>
        <v>42815</v>
      </c>
      <c r="B329" s="23">
        <f>ROUNDUP((A329-Yleistiedot!$B$4)/7,0)</f>
        <v>64</v>
      </c>
      <c r="C329" s="16"/>
      <c r="D329" s="25"/>
      <c r="E329" s="25"/>
      <c r="F329" s="25"/>
      <c r="G329" s="25"/>
      <c r="H329" s="25"/>
      <c r="I329" s="65">
        <f t="shared" si="98"/>
        <v>0</v>
      </c>
      <c r="J329" s="26"/>
      <c r="K329" s="25"/>
      <c r="L329" s="16"/>
      <c r="M329" s="16"/>
      <c r="N329" s="25"/>
      <c r="O329" s="30"/>
      <c r="P329" s="252">
        <f t="shared" si="93"/>
        <v>9990</v>
      </c>
      <c r="Q329" s="253">
        <f t="shared" si="94"/>
        <v>0</v>
      </c>
      <c r="R329" s="253">
        <f t="shared" si="95"/>
        <v>0</v>
      </c>
      <c r="S329" s="251">
        <f>SUMIFS('tuot-rehukirjanpito'!D:D,'tuot-rehukirjanpito'!A:A,A329)</f>
        <v>0</v>
      </c>
      <c r="T329" s="254">
        <f t="shared" si="106"/>
        <v>1098.9000000000001</v>
      </c>
      <c r="U329" s="254">
        <f t="shared" si="107"/>
        <v>1098.8999999999999</v>
      </c>
      <c r="V329" s="252">
        <f t="shared" si="108"/>
        <v>-359340.30000000109</v>
      </c>
      <c r="W329" s="255">
        <f t="shared" si="109"/>
        <v>-327.00000000000097</v>
      </c>
      <c r="X329" s="256" t="str">
        <f t="shared" si="96"/>
        <v/>
      </c>
      <c r="Y329" s="256" t="str">
        <f t="shared" si="97"/>
        <v/>
      </c>
      <c r="Z329" s="224" t="str">
        <f>IF(IFERROR(INDEX('tuot-rehukirjanpito'!I:I,MATCH(A329,'tuot-rehukirjanpito'!G:G,0)),)=0,"",INDEX('tuot-rehukirjanpito'!I:I,MATCH(A329,'tuot-rehukirjanpito'!G:G,0)))</f>
        <v/>
      </c>
      <c r="AA329" s="224">
        <f>SUMIFS('tuot-INFO'!$K$10:$K$115,'tuot-INFO'!$A$10:$A$115,'tuot-PVÄ'!B329)</f>
        <v>65.599999999999994</v>
      </c>
      <c r="AB329" s="224">
        <f>SUMIFS('rehu-vesi-INFO'!$R:$R,'rehu-vesi-INFO'!$A:$A,'tuot-PVÄ'!B329)</f>
        <v>1717</v>
      </c>
      <c r="AC329" s="224">
        <f>SUMIFS('rehu-vesi-INFO'!$S:$S,'rehu-vesi-INFO'!$A:$A,'tuot-PVÄ'!B329)</f>
        <v>1823</v>
      </c>
      <c r="AD329" s="224">
        <f t="shared" si="99"/>
        <v>106</v>
      </c>
      <c r="AE329" s="224">
        <f t="shared" si="100"/>
        <v>0</v>
      </c>
      <c r="AF329" s="224">
        <f t="shared" si="101"/>
        <v>171.7</v>
      </c>
      <c r="AG329" s="224">
        <f t="shared" si="102"/>
        <v>10.6</v>
      </c>
      <c r="AH329" s="257">
        <f t="shared" si="104"/>
        <v>0</v>
      </c>
      <c r="AI329" s="258">
        <f t="shared" si="105"/>
        <v>0</v>
      </c>
      <c r="AJ329" s="55">
        <f>SUMIFS('tuot-INFO'!W:W,'tuot-INFO'!$A:$A,'tuot-PVÄ'!B329)</f>
        <v>81.096000000000004</v>
      </c>
      <c r="AK329" s="55">
        <f>SUMIFS('tuot-INFO'!X:X,'tuot-INFO'!$A:$A,'tuot-PVÄ'!B329)</f>
        <v>8.7199999999999989</v>
      </c>
    </row>
    <row r="330" spans="1:37" x14ac:dyDescent="0.25">
      <c r="A330" s="169">
        <f t="shared" si="103"/>
        <v>42816</v>
      </c>
      <c r="B330" s="23">
        <f>ROUNDUP((A330-Yleistiedot!$B$4)/7,0)</f>
        <v>64</v>
      </c>
      <c r="C330" s="16"/>
      <c r="D330" s="25"/>
      <c r="E330" s="25"/>
      <c r="F330" s="25"/>
      <c r="G330" s="25"/>
      <c r="H330" s="25"/>
      <c r="I330" s="65">
        <f t="shared" si="98"/>
        <v>0</v>
      </c>
      <c r="J330" s="26"/>
      <c r="K330" s="25"/>
      <c r="L330" s="16"/>
      <c r="M330" s="16"/>
      <c r="N330" s="25"/>
      <c r="O330" s="30"/>
      <c r="P330" s="252">
        <f t="shared" si="93"/>
        <v>9990</v>
      </c>
      <c r="Q330" s="253">
        <f t="shared" si="94"/>
        <v>0</v>
      </c>
      <c r="R330" s="253">
        <f t="shared" si="95"/>
        <v>0</v>
      </c>
      <c r="S330" s="251">
        <f>SUMIFS('tuot-rehukirjanpito'!D:D,'tuot-rehukirjanpito'!A:A,A330)</f>
        <v>0</v>
      </c>
      <c r="T330" s="254">
        <f t="shared" si="106"/>
        <v>1098.9000000000001</v>
      </c>
      <c r="U330" s="254">
        <f t="shared" si="107"/>
        <v>1098.8999999999999</v>
      </c>
      <c r="V330" s="252">
        <f t="shared" si="108"/>
        <v>-360439.20000000112</v>
      </c>
      <c r="W330" s="255">
        <f t="shared" si="109"/>
        <v>-328.00000000000097</v>
      </c>
      <c r="X330" s="256" t="str">
        <f t="shared" si="96"/>
        <v/>
      </c>
      <c r="Y330" s="256" t="str">
        <f t="shared" si="97"/>
        <v/>
      </c>
      <c r="Z330" s="224" t="str">
        <f>IF(IFERROR(INDEX('tuot-rehukirjanpito'!I:I,MATCH(A330,'tuot-rehukirjanpito'!G:G,0)),)=0,"",INDEX('tuot-rehukirjanpito'!I:I,MATCH(A330,'tuot-rehukirjanpito'!G:G,0)))</f>
        <v/>
      </c>
      <c r="AA330" s="224">
        <f>SUMIFS('tuot-INFO'!$K$10:$K$115,'tuot-INFO'!$A$10:$A$115,'tuot-PVÄ'!B330)</f>
        <v>65.599999999999994</v>
      </c>
      <c r="AB330" s="224">
        <f>SUMIFS('rehu-vesi-INFO'!$R:$R,'rehu-vesi-INFO'!$A:$A,'tuot-PVÄ'!B330)</f>
        <v>1717</v>
      </c>
      <c r="AC330" s="224">
        <f>SUMIFS('rehu-vesi-INFO'!$S:$S,'rehu-vesi-INFO'!$A:$A,'tuot-PVÄ'!B330)</f>
        <v>1823</v>
      </c>
      <c r="AD330" s="224">
        <f t="shared" si="99"/>
        <v>106</v>
      </c>
      <c r="AE330" s="224">
        <f t="shared" si="100"/>
        <v>0</v>
      </c>
      <c r="AF330" s="224">
        <f t="shared" si="101"/>
        <v>171.7</v>
      </c>
      <c r="AG330" s="224">
        <f t="shared" si="102"/>
        <v>10.6</v>
      </c>
      <c r="AH330" s="257">
        <f t="shared" si="104"/>
        <v>0</v>
      </c>
      <c r="AI330" s="258">
        <f t="shared" si="105"/>
        <v>0</v>
      </c>
      <c r="AJ330" s="55">
        <f>SUMIFS('tuot-INFO'!W:W,'tuot-INFO'!$A:$A,'tuot-PVÄ'!B330)</f>
        <v>81.096000000000004</v>
      </c>
      <c r="AK330" s="55">
        <f>SUMIFS('tuot-INFO'!X:X,'tuot-INFO'!$A:$A,'tuot-PVÄ'!B330)</f>
        <v>8.7199999999999989</v>
      </c>
    </row>
    <row r="331" spans="1:37" x14ac:dyDescent="0.25">
      <c r="A331" s="169">
        <f t="shared" si="103"/>
        <v>42817</v>
      </c>
      <c r="B331" s="23">
        <f>ROUNDUP((A331-Yleistiedot!$B$4)/7,0)</f>
        <v>64</v>
      </c>
      <c r="C331" s="16"/>
      <c r="D331" s="25"/>
      <c r="E331" s="25"/>
      <c r="F331" s="25"/>
      <c r="G331" s="25"/>
      <c r="H331" s="25"/>
      <c r="I331" s="65">
        <f t="shared" si="98"/>
        <v>0</v>
      </c>
      <c r="J331" s="26"/>
      <c r="K331" s="25"/>
      <c r="L331" s="16"/>
      <c r="M331" s="16"/>
      <c r="N331" s="25"/>
      <c r="O331" s="30"/>
      <c r="P331" s="252">
        <f t="shared" si="93"/>
        <v>9990</v>
      </c>
      <c r="Q331" s="253">
        <f t="shared" si="94"/>
        <v>0</v>
      </c>
      <c r="R331" s="253">
        <f t="shared" si="95"/>
        <v>0</v>
      </c>
      <c r="S331" s="251">
        <f>SUMIFS('tuot-rehukirjanpito'!D:D,'tuot-rehukirjanpito'!A:A,A331)</f>
        <v>0</v>
      </c>
      <c r="T331" s="254">
        <f t="shared" si="106"/>
        <v>1098.9000000000001</v>
      </c>
      <c r="U331" s="254">
        <f t="shared" si="107"/>
        <v>1098.8999999999999</v>
      </c>
      <c r="V331" s="252">
        <f t="shared" si="108"/>
        <v>-361538.10000000114</v>
      </c>
      <c r="W331" s="255">
        <f t="shared" si="109"/>
        <v>-329.00000000000102</v>
      </c>
      <c r="X331" s="256" t="str">
        <f t="shared" si="96"/>
        <v/>
      </c>
      <c r="Y331" s="256" t="str">
        <f t="shared" si="97"/>
        <v/>
      </c>
      <c r="Z331" s="224" t="str">
        <f>IF(IFERROR(INDEX('tuot-rehukirjanpito'!I:I,MATCH(A331,'tuot-rehukirjanpito'!G:G,0)),)=0,"",INDEX('tuot-rehukirjanpito'!I:I,MATCH(A331,'tuot-rehukirjanpito'!G:G,0)))</f>
        <v/>
      </c>
      <c r="AA331" s="224">
        <f>SUMIFS('tuot-INFO'!$K$10:$K$115,'tuot-INFO'!$A$10:$A$115,'tuot-PVÄ'!B331)</f>
        <v>65.599999999999994</v>
      </c>
      <c r="AB331" s="224">
        <f>SUMIFS('rehu-vesi-INFO'!$R:$R,'rehu-vesi-INFO'!$A:$A,'tuot-PVÄ'!B331)</f>
        <v>1717</v>
      </c>
      <c r="AC331" s="224">
        <f>SUMIFS('rehu-vesi-INFO'!$S:$S,'rehu-vesi-INFO'!$A:$A,'tuot-PVÄ'!B331)</f>
        <v>1823</v>
      </c>
      <c r="AD331" s="224">
        <f t="shared" si="99"/>
        <v>106</v>
      </c>
      <c r="AE331" s="224">
        <f t="shared" si="100"/>
        <v>0</v>
      </c>
      <c r="AF331" s="224">
        <f t="shared" si="101"/>
        <v>171.7</v>
      </c>
      <c r="AG331" s="224">
        <f t="shared" si="102"/>
        <v>10.6</v>
      </c>
      <c r="AH331" s="257">
        <f t="shared" si="104"/>
        <v>0</v>
      </c>
      <c r="AI331" s="258">
        <f t="shared" si="105"/>
        <v>0</v>
      </c>
      <c r="AJ331" s="55">
        <f>SUMIFS('tuot-INFO'!W:W,'tuot-INFO'!$A:$A,'tuot-PVÄ'!B331)</f>
        <v>81.096000000000004</v>
      </c>
      <c r="AK331" s="55">
        <f>SUMIFS('tuot-INFO'!X:X,'tuot-INFO'!$A:$A,'tuot-PVÄ'!B331)</f>
        <v>8.7199999999999989</v>
      </c>
    </row>
    <row r="332" spans="1:37" x14ac:dyDescent="0.25">
      <c r="A332" s="169">
        <f t="shared" si="103"/>
        <v>42818</v>
      </c>
      <c r="B332" s="23">
        <f>ROUNDUP((A332-Yleistiedot!$B$4)/7,0)</f>
        <v>64</v>
      </c>
      <c r="C332" s="16"/>
      <c r="D332" s="25"/>
      <c r="E332" s="25"/>
      <c r="F332" s="25"/>
      <c r="G332" s="25"/>
      <c r="H332" s="25"/>
      <c r="I332" s="65">
        <f t="shared" si="98"/>
        <v>0</v>
      </c>
      <c r="J332" s="26"/>
      <c r="K332" s="25"/>
      <c r="L332" s="16"/>
      <c r="M332" s="16"/>
      <c r="N332" s="25"/>
      <c r="O332" s="30"/>
      <c r="P332" s="252">
        <f t="shared" si="93"/>
        <v>9990</v>
      </c>
      <c r="Q332" s="253">
        <f t="shared" si="94"/>
        <v>0</v>
      </c>
      <c r="R332" s="253">
        <f t="shared" si="95"/>
        <v>0</v>
      </c>
      <c r="S332" s="251">
        <f>SUMIFS('tuot-rehukirjanpito'!D:D,'tuot-rehukirjanpito'!A:A,A332)</f>
        <v>0</v>
      </c>
      <c r="T332" s="254">
        <f t="shared" si="106"/>
        <v>1098.9000000000001</v>
      </c>
      <c r="U332" s="254">
        <f t="shared" si="107"/>
        <v>1098.8999999999999</v>
      </c>
      <c r="V332" s="252">
        <f t="shared" si="108"/>
        <v>-362637.00000000116</v>
      </c>
      <c r="W332" s="255">
        <f t="shared" si="109"/>
        <v>-330.00000000000102</v>
      </c>
      <c r="X332" s="256" t="str">
        <f t="shared" si="96"/>
        <v/>
      </c>
      <c r="Y332" s="256" t="str">
        <f t="shared" si="97"/>
        <v/>
      </c>
      <c r="Z332" s="224" t="str">
        <f>IF(IFERROR(INDEX('tuot-rehukirjanpito'!I:I,MATCH(A332,'tuot-rehukirjanpito'!G:G,0)),)=0,"",INDEX('tuot-rehukirjanpito'!I:I,MATCH(A332,'tuot-rehukirjanpito'!G:G,0)))</f>
        <v/>
      </c>
      <c r="AA332" s="224">
        <f>SUMIFS('tuot-INFO'!$K$10:$K$115,'tuot-INFO'!$A$10:$A$115,'tuot-PVÄ'!B332)</f>
        <v>65.599999999999994</v>
      </c>
      <c r="AB332" s="224">
        <f>SUMIFS('rehu-vesi-INFO'!$R:$R,'rehu-vesi-INFO'!$A:$A,'tuot-PVÄ'!B332)</f>
        <v>1717</v>
      </c>
      <c r="AC332" s="224">
        <f>SUMIFS('rehu-vesi-INFO'!$S:$S,'rehu-vesi-INFO'!$A:$A,'tuot-PVÄ'!B332)</f>
        <v>1823</v>
      </c>
      <c r="AD332" s="224">
        <f t="shared" si="99"/>
        <v>106</v>
      </c>
      <c r="AE332" s="224">
        <f t="shared" si="100"/>
        <v>0</v>
      </c>
      <c r="AF332" s="224">
        <f t="shared" si="101"/>
        <v>171.7</v>
      </c>
      <c r="AG332" s="224">
        <f t="shared" si="102"/>
        <v>10.6</v>
      </c>
      <c r="AH332" s="257">
        <f t="shared" si="104"/>
        <v>0</v>
      </c>
      <c r="AI332" s="258">
        <f t="shared" si="105"/>
        <v>0</v>
      </c>
      <c r="AJ332" s="55">
        <f>SUMIFS('tuot-INFO'!W:W,'tuot-INFO'!$A:$A,'tuot-PVÄ'!B332)</f>
        <v>81.096000000000004</v>
      </c>
      <c r="AK332" s="55">
        <f>SUMIFS('tuot-INFO'!X:X,'tuot-INFO'!$A:$A,'tuot-PVÄ'!B332)</f>
        <v>8.7199999999999989</v>
      </c>
    </row>
    <row r="333" spans="1:37" x14ac:dyDescent="0.25">
      <c r="A333" s="169">
        <f t="shared" si="103"/>
        <v>42819</v>
      </c>
      <c r="B333" s="23">
        <f>ROUNDUP((A333-Yleistiedot!$B$4)/7,0)</f>
        <v>65</v>
      </c>
      <c r="C333" s="16"/>
      <c r="D333" s="25"/>
      <c r="E333" s="25"/>
      <c r="F333" s="25"/>
      <c r="G333" s="25"/>
      <c r="H333" s="25"/>
      <c r="I333" s="65">
        <f t="shared" si="98"/>
        <v>0</v>
      </c>
      <c r="J333" s="26"/>
      <c r="K333" s="25"/>
      <c r="L333" s="16"/>
      <c r="M333" s="16"/>
      <c r="N333" s="25"/>
      <c r="O333" s="30"/>
      <c r="P333" s="252">
        <f t="shared" si="93"/>
        <v>9990</v>
      </c>
      <c r="Q333" s="253">
        <f t="shared" si="94"/>
        <v>0</v>
      </c>
      <c r="R333" s="253">
        <f t="shared" si="95"/>
        <v>0</v>
      </c>
      <c r="S333" s="251">
        <f>SUMIFS('tuot-rehukirjanpito'!D:D,'tuot-rehukirjanpito'!A:A,A333)</f>
        <v>0</v>
      </c>
      <c r="T333" s="254">
        <f t="shared" si="106"/>
        <v>1098.9000000000001</v>
      </c>
      <c r="U333" s="254">
        <f t="shared" si="107"/>
        <v>1098.8999999999999</v>
      </c>
      <c r="V333" s="252">
        <f t="shared" si="108"/>
        <v>-363735.90000000119</v>
      </c>
      <c r="W333" s="255">
        <f t="shared" si="109"/>
        <v>-331.00000000000108</v>
      </c>
      <c r="X333" s="256" t="str">
        <f t="shared" si="96"/>
        <v/>
      </c>
      <c r="Y333" s="256" t="str">
        <f t="shared" si="97"/>
        <v/>
      </c>
      <c r="Z333" s="224" t="str">
        <f>IF(IFERROR(INDEX('tuot-rehukirjanpito'!I:I,MATCH(A333,'tuot-rehukirjanpito'!G:G,0)),)=0,"",INDEX('tuot-rehukirjanpito'!I:I,MATCH(A333,'tuot-rehukirjanpito'!G:G,0)))</f>
        <v/>
      </c>
      <c r="AA333" s="224">
        <f>SUMIFS('tuot-INFO'!$K$10:$K$115,'tuot-INFO'!$A$10:$A$115,'tuot-PVÄ'!B333)</f>
        <v>65.7</v>
      </c>
      <c r="AB333" s="224">
        <f>SUMIFS('rehu-vesi-INFO'!$R:$R,'rehu-vesi-INFO'!$A:$A,'tuot-PVÄ'!B333)</f>
        <v>1718</v>
      </c>
      <c r="AC333" s="224">
        <f>SUMIFS('rehu-vesi-INFO'!$S:$S,'rehu-vesi-INFO'!$A:$A,'tuot-PVÄ'!B333)</f>
        <v>1824</v>
      </c>
      <c r="AD333" s="224">
        <f t="shared" si="99"/>
        <v>106</v>
      </c>
      <c r="AE333" s="224">
        <f t="shared" si="100"/>
        <v>0</v>
      </c>
      <c r="AF333" s="224">
        <f t="shared" si="101"/>
        <v>171.8</v>
      </c>
      <c r="AG333" s="224">
        <f t="shared" si="102"/>
        <v>10.6</v>
      </c>
      <c r="AH333" s="257">
        <f t="shared" si="104"/>
        <v>0</v>
      </c>
      <c r="AI333" s="258">
        <f t="shared" si="105"/>
        <v>0</v>
      </c>
      <c r="AJ333" s="55">
        <f>SUMIFS('tuot-INFO'!W:W,'tuot-INFO'!$A:$A,'tuot-PVÄ'!B333)</f>
        <v>80.631</v>
      </c>
      <c r="AK333" s="55">
        <f>SUMIFS('tuot-INFO'!X:X,'tuot-INFO'!$A:$A,'tuot-PVÄ'!B333)</f>
        <v>8.6700000000000017</v>
      </c>
    </row>
    <row r="334" spans="1:37" x14ac:dyDescent="0.25">
      <c r="A334" s="169">
        <f t="shared" si="103"/>
        <v>42820</v>
      </c>
      <c r="B334" s="23">
        <f>ROUNDUP((A334-Yleistiedot!$B$4)/7,0)</f>
        <v>65</v>
      </c>
      <c r="C334" s="16"/>
      <c r="D334" s="25"/>
      <c r="E334" s="25"/>
      <c r="F334" s="25"/>
      <c r="G334" s="25"/>
      <c r="H334" s="25"/>
      <c r="I334" s="65">
        <f t="shared" si="98"/>
        <v>0</v>
      </c>
      <c r="J334" s="26"/>
      <c r="K334" s="25"/>
      <c r="L334" s="16"/>
      <c r="M334" s="16"/>
      <c r="N334" s="25"/>
      <c r="O334" s="30"/>
      <c r="P334" s="252">
        <f t="shared" si="93"/>
        <v>9990</v>
      </c>
      <c r="Q334" s="253">
        <f t="shared" si="94"/>
        <v>0</v>
      </c>
      <c r="R334" s="253">
        <f t="shared" si="95"/>
        <v>0</v>
      </c>
      <c r="S334" s="251">
        <f>SUMIFS('tuot-rehukirjanpito'!D:D,'tuot-rehukirjanpito'!A:A,A334)</f>
        <v>0</v>
      </c>
      <c r="T334" s="254">
        <f t="shared" si="106"/>
        <v>1098.9000000000001</v>
      </c>
      <c r="U334" s="254">
        <f t="shared" si="107"/>
        <v>1098.8999999999999</v>
      </c>
      <c r="V334" s="252">
        <f t="shared" si="108"/>
        <v>-364834.80000000121</v>
      </c>
      <c r="W334" s="255">
        <f t="shared" si="109"/>
        <v>-332.00000000000108</v>
      </c>
      <c r="X334" s="256" t="str">
        <f t="shared" si="96"/>
        <v/>
      </c>
      <c r="Y334" s="256" t="str">
        <f t="shared" si="97"/>
        <v/>
      </c>
      <c r="Z334" s="224" t="str">
        <f>IF(IFERROR(INDEX('tuot-rehukirjanpito'!I:I,MATCH(A334,'tuot-rehukirjanpito'!G:G,0)),)=0,"",INDEX('tuot-rehukirjanpito'!I:I,MATCH(A334,'tuot-rehukirjanpito'!G:G,0)))</f>
        <v/>
      </c>
      <c r="AA334" s="224">
        <f>SUMIFS('tuot-INFO'!$K$10:$K$115,'tuot-INFO'!$A$10:$A$115,'tuot-PVÄ'!B334)</f>
        <v>65.7</v>
      </c>
      <c r="AB334" s="224">
        <f>SUMIFS('rehu-vesi-INFO'!$R:$R,'rehu-vesi-INFO'!$A:$A,'tuot-PVÄ'!B334)</f>
        <v>1718</v>
      </c>
      <c r="AC334" s="224">
        <f>SUMIFS('rehu-vesi-INFO'!$S:$S,'rehu-vesi-INFO'!$A:$A,'tuot-PVÄ'!B334)</f>
        <v>1824</v>
      </c>
      <c r="AD334" s="224">
        <f t="shared" si="99"/>
        <v>106</v>
      </c>
      <c r="AE334" s="224">
        <f t="shared" si="100"/>
        <v>0</v>
      </c>
      <c r="AF334" s="224">
        <f t="shared" si="101"/>
        <v>171.8</v>
      </c>
      <c r="AG334" s="224">
        <f t="shared" si="102"/>
        <v>10.6</v>
      </c>
      <c r="AH334" s="257">
        <f t="shared" si="104"/>
        <v>0</v>
      </c>
      <c r="AI334" s="258">
        <f t="shared" si="105"/>
        <v>0</v>
      </c>
      <c r="AJ334" s="55">
        <f>SUMIFS('tuot-INFO'!W:W,'tuot-INFO'!$A:$A,'tuot-PVÄ'!B334)</f>
        <v>80.631</v>
      </c>
      <c r="AK334" s="55">
        <f>SUMIFS('tuot-INFO'!X:X,'tuot-INFO'!$A:$A,'tuot-PVÄ'!B334)</f>
        <v>8.6700000000000017</v>
      </c>
    </row>
    <row r="335" spans="1:37" x14ac:dyDescent="0.25">
      <c r="A335" s="169">
        <f t="shared" si="103"/>
        <v>42821</v>
      </c>
      <c r="B335" s="23">
        <f>ROUNDUP((A335-Yleistiedot!$B$4)/7,0)</f>
        <v>65</v>
      </c>
      <c r="C335" s="16"/>
      <c r="D335" s="25"/>
      <c r="E335" s="25"/>
      <c r="F335" s="25"/>
      <c r="G335" s="25"/>
      <c r="H335" s="25"/>
      <c r="I335" s="65">
        <f t="shared" si="98"/>
        <v>0</v>
      </c>
      <c r="J335" s="26"/>
      <c r="K335" s="25"/>
      <c r="L335" s="16"/>
      <c r="M335" s="16"/>
      <c r="N335" s="25"/>
      <c r="O335" s="30"/>
      <c r="P335" s="252">
        <f t="shared" si="93"/>
        <v>9990</v>
      </c>
      <c r="Q335" s="253">
        <f t="shared" si="94"/>
        <v>0</v>
      </c>
      <c r="R335" s="253">
        <f t="shared" si="95"/>
        <v>0</v>
      </c>
      <c r="S335" s="251">
        <f>SUMIFS('tuot-rehukirjanpito'!D:D,'tuot-rehukirjanpito'!A:A,A335)</f>
        <v>0</v>
      </c>
      <c r="T335" s="254">
        <f t="shared" si="106"/>
        <v>1098.9000000000001</v>
      </c>
      <c r="U335" s="254">
        <f t="shared" si="107"/>
        <v>1098.8999999999999</v>
      </c>
      <c r="V335" s="252">
        <f t="shared" si="108"/>
        <v>-365933.70000000123</v>
      </c>
      <c r="W335" s="255">
        <f t="shared" si="109"/>
        <v>-333.00000000000108</v>
      </c>
      <c r="X335" s="256" t="str">
        <f t="shared" si="96"/>
        <v/>
      </c>
      <c r="Y335" s="256" t="str">
        <f t="shared" si="97"/>
        <v/>
      </c>
      <c r="Z335" s="224" t="str">
        <f>IF(IFERROR(INDEX('tuot-rehukirjanpito'!I:I,MATCH(A335,'tuot-rehukirjanpito'!G:G,0)),)=0,"",INDEX('tuot-rehukirjanpito'!I:I,MATCH(A335,'tuot-rehukirjanpito'!G:G,0)))</f>
        <v/>
      </c>
      <c r="AA335" s="224">
        <f>SUMIFS('tuot-INFO'!$K$10:$K$115,'tuot-INFO'!$A$10:$A$115,'tuot-PVÄ'!B335)</f>
        <v>65.7</v>
      </c>
      <c r="AB335" s="224">
        <f>SUMIFS('rehu-vesi-INFO'!$R:$R,'rehu-vesi-INFO'!$A:$A,'tuot-PVÄ'!B335)</f>
        <v>1718</v>
      </c>
      <c r="AC335" s="224">
        <f>SUMIFS('rehu-vesi-INFO'!$S:$S,'rehu-vesi-INFO'!$A:$A,'tuot-PVÄ'!B335)</f>
        <v>1824</v>
      </c>
      <c r="AD335" s="224">
        <f t="shared" si="99"/>
        <v>106</v>
      </c>
      <c r="AE335" s="224">
        <f t="shared" si="100"/>
        <v>0</v>
      </c>
      <c r="AF335" s="224">
        <f t="shared" si="101"/>
        <v>171.8</v>
      </c>
      <c r="AG335" s="224">
        <f t="shared" si="102"/>
        <v>10.6</v>
      </c>
      <c r="AH335" s="257">
        <f t="shared" si="104"/>
        <v>0</v>
      </c>
      <c r="AI335" s="258">
        <f t="shared" si="105"/>
        <v>0</v>
      </c>
      <c r="AJ335" s="55">
        <f>SUMIFS('tuot-INFO'!W:W,'tuot-INFO'!$A:$A,'tuot-PVÄ'!B335)</f>
        <v>80.631</v>
      </c>
      <c r="AK335" s="55">
        <f>SUMIFS('tuot-INFO'!X:X,'tuot-INFO'!$A:$A,'tuot-PVÄ'!B335)</f>
        <v>8.6700000000000017</v>
      </c>
    </row>
    <row r="336" spans="1:37" x14ac:dyDescent="0.25">
      <c r="A336" s="169">
        <f t="shared" si="103"/>
        <v>42822</v>
      </c>
      <c r="B336" s="23">
        <f>ROUNDUP((A336-Yleistiedot!$B$4)/7,0)</f>
        <v>65</v>
      </c>
      <c r="C336" s="16"/>
      <c r="D336" s="25"/>
      <c r="E336" s="25"/>
      <c r="F336" s="25"/>
      <c r="G336" s="25"/>
      <c r="H336" s="25"/>
      <c r="I336" s="65">
        <f t="shared" si="98"/>
        <v>0</v>
      </c>
      <c r="J336" s="26"/>
      <c r="K336" s="25"/>
      <c r="L336" s="16"/>
      <c r="M336" s="16"/>
      <c r="N336" s="25"/>
      <c r="O336" s="30"/>
      <c r="P336" s="252">
        <f t="shared" si="93"/>
        <v>9990</v>
      </c>
      <c r="Q336" s="253">
        <f t="shared" si="94"/>
        <v>0</v>
      </c>
      <c r="R336" s="253">
        <f t="shared" si="95"/>
        <v>0</v>
      </c>
      <c r="S336" s="251">
        <f>SUMIFS('tuot-rehukirjanpito'!D:D,'tuot-rehukirjanpito'!A:A,A336)</f>
        <v>0</v>
      </c>
      <c r="T336" s="254">
        <f t="shared" si="106"/>
        <v>1098.9000000000001</v>
      </c>
      <c r="U336" s="254">
        <f t="shared" si="107"/>
        <v>1098.8999999999999</v>
      </c>
      <c r="V336" s="252">
        <f t="shared" si="108"/>
        <v>-367032.60000000126</v>
      </c>
      <c r="W336" s="255">
        <f t="shared" si="109"/>
        <v>-334.00000000000114</v>
      </c>
      <c r="X336" s="256" t="str">
        <f t="shared" si="96"/>
        <v/>
      </c>
      <c r="Y336" s="256" t="str">
        <f t="shared" si="97"/>
        <v/>
      </c>
      <c r="Z336" s="224" t="str">
        <f>IF(IFERROR(INDEX('tuot-rehukirjanpito'!I:I,MATCH(A336,'tuot-rehukirjanpito'!G:G,0)),)=0,"",INDEX('tuot-rehukirjanpito'!I:I,MATCH(A336,'tuot-rehukirjanpito'!G:G,0)))</f>
        <v/>
      </c>
      <c r="AA336" s="224">
        <f>SUMIFS('tuot-INFO'!$K$10:$K$115,'tuot-INFO'!$A$10:$A$115,'tuot-PVÄ'!B336)</f>
        <v>65.7</v>
      </c>
      <c r="AB336" s="224">
        <f>SUMIFS('rehu-vesi-INFO'!$R:$R,'rehu-vesi-INFO'!$A:$A,'tuot-PVÄ'!B336)</f>
        <v>1718</v>
      </c>
      <c r="AC336" s="224">
        <f>SUMIFS('rehu-vesi-INFO'!$S:$S,'rehu-vesi-INFO'!$A:$A,'tuot-PVÄ'!B336)</f>
        <v>1824</v>
      </c>
      <c r="AD336" s="224">
        <f t="shared" si="99"/>
        <v>106</v>
      </c>
      <c r="AE336" s="224">
        <f t="shared" si="100"/>
        <v>0</v>
      </c>
      <c r="AF336" s="224">
        <f t="shared" si="101"/>
        <v>171.8</v>
      </c>
      <c r="AG336" s="224">
        <f t="shared" si="102"/>
        <v>10.6</v>
      </c>
      <c r="AH336" s="257">
        <f t="shared" si="104"/>
        <v>0</v>
      </c>
      <c r="AI336" s="258">
        <f t="shared" si="105"/>
        <v>0</v>
      </c>
      <c r="AJ336" s="55">
        <f>SUMIFS('tuot-INFO'!W:W,'tuot-INFO'!$A:$A,'tuot-PVÄ'!B336)</f>
        <v>80.631</v>
      </c>
      <c r="AK336" s="55">
        <f>SUMIFS('tuot-INFO'!X:X,'tuot-INFO'!$A:$A,'tuot-PVÄ'!B336)</f>
        <v>8.6700000000000017</v>
      </c>
    </row>
    <row r="337" spans="1:37" x14ac:dyDescent="0.25">
      <c r="A337" s="169">
        <f t="shared" si="103"/>
        <v>42823</v>
      </c>
      <c r="B337" s="23">
        <f>ROUNDUP((A337-Yleistiedot!$B$4)/7,0)</f>
        <v>65</v>
      </c>
      <c r="C337" s="16"/>
      <c r="D337" s="25"/>
      <c r="E337" s="25"/>
      <c r="F337" s="25"/>
      <c r="G337" s="25"/>
      <c r="H337" s="25"/>
      <c r="I337" s="65">
        <f t="shared" si="98"/>
        <v>0</v>
      </c>
      <c r="J337" s="26"/>
      <c r="K337" s="25"/>
      <c r="L337" s="16"/>
      <c r="M337" s="16"/>
      <c r="N337" s="25"/>
      <c r="O337" s="30"/>
      <c r="P337" s="252">
        <f t="shared" si="93"/>
        <v>9990</v>
      </c>
      <c r="Q337" s="253">
        <f t="shared" si="94"/>
        <v>0</v>
      </c>
      <c r="R337" s="253">
        <f t="shared" si="95"/>
        <v>0</v>
      </c>
      <c r="S337" s="251">
        <f>SUMIFS('tuot-rehukirjanpito'!D:D,'tuot-rehukirjanpito'!A:A,A337)</f>
        <v>0</v>
      </c>
      <c r="T337" s="254">
        <f t="shared" si="106"/>
        <v>1098.9000000000001</v>
      </c>
      <c r="U337" s="254">
        <f t="shared" si="107"/>
        <v>1098.8999999999999</v>
      </c>
      <c r="V337" s="252">
        <f t="shared" si="108"/>
        <v>-368131.50000000128</v>
      </c>
      <c r="W337" s="255">
        <f t="shared" si="109"/>
        <v>-335.00000000000114</v>
      </c>
      <c r="X337" s="256" t="str">
        <f t="shared" si="96"/>
        <v/>
      </c>
      <c r="Y337" s="256" t="str">
        <f t="shared" si="97"/>
        <v/>
      </c>
      <c r="Z337" s="224" t="str">
        <f>IF(IFERROR(INDEX('tuot-rehukirjanpito'!I:I,MATCH(A337,'tuot-rehukirjanpito'!G:G,0)),)=0,"",INDEX('tuot-rehukirjanpito'!I:I,MATCH(A337,'tuot-rehukirjanpito'!G:G,0)))</f>
        <v/>
      </c>
      <c r="AA337" s="224">
        <f>SUMIFS('tuot-INFO'!$K$10:$K$115,'tuot-INFO'!$A$10:$A$115,'tuot-PVÄ'!B337)</f>
        <v>65.7</v>
      </c>
      <c r="AB337" s="224">
        <f>SUMIFS('rehu-vesi-INFO'!$R:$R,'rehu-vesi-INFO'!$A:$A,'tuot-PVÄ'!B337)</f>
        <v>1718</v>
      </c>
      <c r="AC337" s="224">
        <f>SUMIFS('rehu-vesi-INFO'!$S:$S,'rehu-vesi-INFO'!$A:$A,'tuot-PVÄ'!B337)</f>
        <v>1824</v>
      </c>
      <c r="AD337" s="224">
        <f t="shared" si="99"/>
        <v>106</v>
      </c>
      <c r="AE337" s="224">
        <f t="shared" si="100"/>
        <v>0</v>
      </c>
      <c r="AF337" s="224">
        <f t="shared" si="101"/>
        <v>171.8</v>
      </c>
      <c r="AG337" s="224">
        <f t="shared" si="102"/>
        <v>10.6</v>
      </c>
      <c r="AH337" s="257">
        <f t="shared" si="104"/>
        <v>0</v>
      </c>
      <c r="AI337" s="258">
        <f t="shared" si="105"/>
        <v>0</v>
      </c>
      <c r="AJ337" s="55">
        <f>SUMIFS('tuot-INFO'!W:W,'tuot-INFO'!$A:$A,'tuot-PVÄ'!B337)</f>
        <v>80.631</v>
      </c>
      <c r="AK337" s="55">
        <f>SUMIFS('tuot-INFO'!X:X,'tuot-INFO'!$A:$A,'tuot-PVÄ'!B337)</f>
        <v>8.6700000000000017</v>
      </c>
    </row>
    <row r="338" spans="1:37" x14ac:dyDescent="0.25">
      <c r="A338" s="169">
        <f t="shared" si="103"/>
        <v>42824</v>
      </c>
      <c r="B338" s="23">
        <f>ROUNDUP((A338-Yleistiedot!$B$4)/7,0)</f>
        <v>65</v>
      </c>
      <c r="C338" s="16"/>
      <c r="D338" s="25"/>
      <c r="E338" s="25"/>
      <c r="F338" s="25"/>
      <c r="G338" s="25"/>
      <c r="H338" s="25"/>
      <c r="I338" s="65">
        <f t="shared" si="98"/>
        <v>0</v>
      </c>
      <c r="J338" s="26"/>
      <c r="K338" s="25"/>
      <c r="L338" s="16"/>
      <c r="M338" s="16"/>
      <c r="N338" s="25"/>
      <c r="O338" s="30"/>
      <c r="P338" s="252">
        <f t="shared" si="93"/>
        <v>9990</v>
      </c>
      <c r="Q338" s="253">
        <f t="shared" si="94"/>
        <v>0</v>
      </c>
      <c r="R338" s="253">
        <f t="shared" si="95"/>
        <v>0</v>
      </c>
      <c r="S338" s="251">
        <f>SUMIFS('tuot-rehukirjanpito'!D:D,'tuot-rehukirjanpito'!A:A,A338)</f>
        <v>0</v>
      </c>
      <c r="T338" s="254">
        <f t="shared" si="106"/>
        <v>1098.9000000000001</v>
      </c>
      <c r="U338" s="254">
        <f t="shared" si="107"/>
        <v>1098.8999999999999</v>
      </c>
      <c r="V338" s="252">
        <f t="shared" si="108"/>
        <v>-369230.4000000013</v>
      </c>
      <c r="W338" s="255">
        <f t="shared" si="109"/>
        <v>-336.00000000000114</v>
      </c>
      <c r="X338" s="256" t="str">
        <f t="shared" si="96"/>
        <v/>
      </c>
      <c r="Y338" s="256" t="str">
        <f t="shared" si="97"/>
        <v/>
      </c>
      <c r="Z338" s="224" t="str">
        <f>IF(IFERROR(INDEX('tuot-rehukirjanpito'!I:I,MATCH(A338,'tuot-rehukirjanpito'!G:G,0)),)=0,"",INDEX('tuot-rehukirjanpito'!I:I,MATCH(A338,'tuot-rehukirjanpito'!G:G,0)))</f>
        <v/>
      </c>
      <c r="AA338" s="224">
        <f>SUMIFS('tuot-INFO'!$K$10:$K$115,'tuot-INFO'!$A$10:$A$115,'tuot-PVÄ'!B338)</f>
        <v>65.7</v>
      </c>
      <c r="AB338" s="224">
        <f>SUMIFS('rehu-vesi-INFO'!$R:$R,'rehu-vesi-INFO'!$A:$A,'tuot-PVÄ'!B338)</f>
        <v>1718</v>
      </c>
      <c r="AC338" s="224">
        <f>SUMIFS('rehu-vesi-INFO'!$S:$S,'rehu-vesi-INFO'!$A:$A,'tuot-PVÄ'!B338)</f>
        <v>1824</v>
      </c>
      <c r="AD338" s="224">
        <f t="shared" si="99"/>
        <v>106</v>
      </c>
      <c r="AE338" s="224">
        <f t="shared" si="100"/>
        <v>0</v>
      </c>
      <c r="AF338" s="224">
        <f t="shared" si="101"/>
        <v>171.8</v>
      </c>
      <c r="AG338" s="224">
        <f t="shared" si="102"/>
        <v>10.6</v>
      </c>
      <c r="AH338" s="257">
        <f t="shared" si="104"/>
        <v>0</v>
      </c>
      <c r="AI338" s="258">
        <f t="shared" si="105"/>
        <v>0</v>
      </c>
      <c r="AJ338" s="55">
        <f>SUMIFS('tuot-INFO'!W:W,'tuot-INFO'!$A:$A,'tuot-PVÄ'!B338)</f>
        <v>80.631</v>
      </c>
      <c r="AK338" s="55">
        <f>SUMIFS('tuot-INFO'!X:X,'tuot-INFO'!$A:$A,'tuot-PVÄ'!B338)</f>
        <v>8.6700000000000017</v>
      </c>
    </row>
    <row r="339" spans="1:37" x14ac:dyDescent="0.25">
      <c r="A339" s="169">
        <f t="shared" si="103"/>
        <v>42825</v>
      </c>
      <c r="B339" s="23">
        <f>ROUNDUP((A339-Yleistiedot!$B$4)/7,0)</f>
        <v>65</v>
      </c>
      <c r="C339" s="16"/>
      <c r="D339" s="25"/>
      <c r="E339" s="25"/>
      <c r="F339" s="25"/>
      <c r="G339" s="25"/>
      <c r="H339" s="25"/>
      <c r="I339" s="65">
        <f t="shared" si="98"/>
        <v>0</v>
      </c>
      <c r="J339" s="26"/>
      <c r="K339" s="25"/>
      <c r="L339" s="16"/>
      <c r="M339" s="16"/>
      <c r="N339" s="25"/>
      <c r="O339" s="30"/>
      <c r="P339" s="252">
        <f t="shared" ref="P339:P402" si="110">P338-C339</f>
        <v>9990</v>
      </c>
      <c r="Q339" s="253">
        <f t="shared" ref="Q339:Q402" si="111">D339/P339*100</f>
        <v>0</v>
      </c>
      <c r="R339" s="253">
        <f t="shared" ref="R339:R402" si="112">I339/P339*100</f>
        <v>0</v>
      </c>
      <c r="S339" s="251">
        <f>SUMIFS('tuot-rehukirjanpito'!D:D,'tuot-rehukirjanpito'!A:A,A339)</f>
        <v>0</v>
      </c>
      <c r="T339" s="254">
        <f t="shared" si="106"/>
        <v>1098.9000000000001</v>
      </c>
      <c r="U339" s="254">
        <f t="shared" si="107"/>
        <v>1098.8999999999999</v>
      </c>
      <c r="V339" s="252">
        <f t="shared" si="108"/>
        <v>-370329.30000000133</v>
      </c>
      <c r="W339" s="255">
        <f t="shared" si="109"/>
        <v>-337.00000000000119</v>
      </c>
      <c r="X339" s="256" t="str">
        <f t="shared" si="96"/>
        <v/>
      </c>
      <c r="Y339" s="256" t="str">
        <f t="shared" si="97"/>
        <v/>
      </c>
      <c r="Z339" s="224" t="str">
        <f>IF(IFERROR(INDEX('tuot-rehukirjanpito'!I:I,MATCH(A339,'tuot-rehukirjanpito'!G:G,0)),)=0,"",INDEX('tuot-rehukirjanpito'!I:I,MATCH(A339,'tuot-rehukirjanpito'!G:G,0)))</f>
        <v/>
      </c>
      <c r="AA339" s="224">
        <f>SUMIFS('tuot-INFO'!$K$10:$K$115,'tuot-INFO'!$A$10:$A$115,'tuot-PVÄ'!B339)</f>
        <v>65.7</v>
      </c>
      <c r="AB339" s="224">
        <f>SUMIFS('rehu-vesi-INFO'!$R:$R,'rehu-vesi-INFO'!$A:$A,'tuot-PVÄ'!B339)</f>
        <v>1718</v>
      </c>
      <c r="AC339" s="224">
        <f>SUMIFS('rehu-vesi-INFO'!$S:$S,'rehu-vesi-INFO'!$A:$A,'tuot-PVÄ'!B339)</f>
        <v>1824</v>
      </c>
      <c r="AD339" s="224">
        <f t="shared" si="99"/>
        <v>106</v>
      </c>
      <c r="AE339" s="224">
        <f t="shared" si="100"/>
        <v>0</v>
      </c>
      <c r="AF339" s="224">
        <f t="shared" si="101"/>
        <v>171.8</v>
      </c>
      <c r="AG339" s="224">
        <f t="shared" si="102"/>
        <v>10.6</v>
      </c>
      <c r="AH339" s="257">
        <f t="shared" si="104"/>
        <v>0</v>
      </c>
      <c r="AI339" s="258">
        <f t="shared" si="105"/>
        <v>0</v>
      </c>
      <c r="AJ339" s="55">
        <f>SUMIFS('tuot-INFO'!W:W,'tuot-INFO'!$A:$A,'tuot-PVÄ'!B339)</f>
        <v>80.631</v>
      </c>
      <c r="AK339" s="55">
        <f>SUMIFS('tuot-INFO'!X:X,'tuot-INFO'!$A:$A,'tuot-PVÄ'!B339)</f>
        <v>8.6700000000000017</v>
      </c>
    </row>
    <row r="340" spans="1:37" x14ac:dyDescent="0.25">
      <c r="A340" s="169">
        <f t="shared" si="103"/>
        <v>42826</v>
      </c>
      <c r="B340" s="23">
        <f>ROUNDUP((A340-Yleistiedot!$B$4)/7,0)</f>
        <v>66</v>
      </c>
      <c r="C340" s="16"/>
      <c r="D340" s="25"/>
      <c r="E340" s="25"/>
      <c r="F340" s="25"/>
      <c r="G340" s="25"/>
      <c r="H340" s="25"/>
      <c r="I340" s="65">
        <f t="shared" si="98"/>
        <v>0</v>
      </c>
      <c r="J340" s="26"/>
      <c r="K340" s="25"/>
      <c r="L340" s="16"/>
      <c r="M340" s="16"/>
      <c r="N340" s="25"/>
      <c r="O340" s="30"/>
      <c r="P340" s="252">
        <f t="shared" si="110"/>
        <v>9990</v>
      </c>
      <c r="Q340" s="253">
        <f t="shared" si="111"/>
        <v>0</v>
      </c>
      <c r="R340" s="253">
        <f t="shared" si="112"/>
        <v>0</v>
      </c>
      <c r="S340" s="251">
        <f>SUMIFS('tuot-rehukirjanpito'!D:D,'tuot-rehukirjanpito'!A:A,A340)</f>
        <v>0</v>
      </c>
      <c r="T340" s="254">
        <f t="shared" si="106"/>
        <v>1098.9000000000001</v>
      </c>
      <c r="U340" s="254">
        <f t="shared" si="107"/>
        <v>1098.8999999999999</v>
      </c>
      <c r="V340" s="252">
        <f t="shared" si="108"/>
        <v>-371428.20000000135</v>
      </c>
      <c r="W340" s="255">
        <f t="shared" si="109"/>
        <v>-338.00000000000119</v>
      </c>
      <c r="X340" s="256" t="str">
        <f t="shared" si="96"/>
        <v/>
      </c>
      <c r="Y340" s="256" t="str">
        <f t="shared" si="97"/>
        <v/>
      </c>
      <c r="Z340" s="224" t="str">
        <f>IF(IFERROR(INDEX('tuot-rehukirjanpito'!I:I,MATCH(A340,'tuot-rehukirjanpito'!G:G,0)),)=0,"",INDEX('tuot-rehukirjanpito'!I:I,MATCH(A340,'tuot-rehukirjanpito'!G:G,0)))</f>
        <v/>
      </c>
      <c r="AA340" s="224">
        <f>SUMIFS('tuot-INFO'!$K$10:$K$115,'tuot-INFO'!$A$10:$A$115,'tuot-PVÄ'!B340)</f>
        <v>65.7</v>
      </c>
      <c r="AB340" s="224">
        <f>SUMIFS('rehu-vesi-INFO'!$R:$R,'rehu-vesi-INFO'!$A:$A,'tuot-PVÄ'!B340)</f>
        <v>1719</v>
      </c>
      <c r="AC340" s="224">
        <f>SUMIFS('rehu-vesi-INFO'!$S:$S,'rehu-vesi-INFO'!$A:$A,'tuot-PVÄ'!B340)</f>
        <v>1826</v>
      </c>
      <c r="AD340" s="224">
        <f t="shared" si="99"/>
        <v>107</v>
      </c>
      <c r="AE340" s="224">
        <f t="shared" si="100"/>
        <v>0</v>
      </c>
      <c r="AF340" s="224">
        <f t="shared" si="101"/>
        <v>171.9</v>
      </c>
      <c r="AG340" s="224">
        <f t="shared" si="102"/>
        <v>10.7</v>
      </c>
      <c r="AH340" s="257">
        <f t="shared" si="104"/>
        <v>0</v>
      </c>
      <c r="AI340" s="258">
        <f t="shared" si="105"/>
        <v>0</v>
      </c>
      <c r="AJ340" s="55">
        <f>SUMIFS('tuot-INFO'!W:W,'tuot-INFO'!$A:$A,'tuot-PVÄ'!B340)</f>
        <v>80.165999999999997</v>
      </c>
      <c r="AK340" s="55">
        <f>SUMIFS('tuot-INFO'!X:X,'tuot-INFO'!$A:$A,'tuot-PVÄ'!B340)</f>
        <v>8.6200000000000045</v>
      </c>
    </row>
    <row r="341" spans="1:37" x14ac:dyDescent="0.25">
      <c r="A341" s="169">
        <f t="shared" si="103"/>
        <v>42827</v>
      </c>
      <c r="B341" s="23">
        <f>ROUNDUP((A341-Yleistiedot!$B$4)/7,0)</f>
        <v>66</v>
      </c>
      <c r="C341" s="16"/>
      <c r="D341" s="25"/>
      <c r="E341" s="25"/>
      <c r="F341" s="25"/>
      <c r="G341" s="25"/>
      <c r="H341" s="25"/>
      <c r="I341" s="65">
        <f t="shared" si="98"/>
        <v>0</v>
      </c>
      <c r="J341" s="26"/>
      <c r="K341" s="25"/>
      <c r="L341" s="16"/>
      <c r="M341" s="16"/>
      <c r="N341" s="25"/>
      <c r="O341" s="30"/>
      <c r="P341" s="252">
        <f t="shared" si="110"/>
        <v>9990</v>
      </c>
      <c r="Q341" s="253">
        <f t="shared" si="111"/>
        <v>0</v>
      </c>
      <c r="R341" s="253">
        <f t="shared" si="112"/>
        <v>0</v>
      </c>
      <c r="S341" s="251">
        <f>SUMIFS('tuot-rehukirjanpito'!D:D,'tuot-rehukirjanpito'!A:A,A341)</f>
        <v>0</v>
      </c>
      <c r="T341" s="254">
        <f t="shared" si="106"/>
        <v>1098.9000000000001</v>
      </c>
      <c r="U341" s="254">
        <f t="shared" si="107"/>
        <v>1098.8999999999999</v>
      </c>
      <c r="V341" s="252">
        <f t="shared" si="108"/>
        <v>-372527.10000000137</v>
      </c>
      <c r="W341" s="255">
        <f t="shared" si="109"/>
        <v>-339.00000000000119</v>
      </c>
      <c r="X341" s="256" t="str">
        <f t="shared" si="96"/>
        <v/>
      </c>
      <c r="Y341" s="256" t="str">
        <f t="shared" si="97"/>
        <v/>
      </c>
      <c r="Z341" s="224" t="str">
        <f>IF(IFERROR(INDEX('tuot-rehukirjanpito'!I:I,MATCH(A341,'tuot-rehukirjanpito'!G:G,0)),)=0,"",INDEX('tuot-rehukirjanpito'!I:I,MATCH(A341,'tuot-rehukirjanpito'!G:G,0)))</f>
        <v/>
      </c>
      <c r="AA341" s="224">
        <f>SUMIFS('tuot-INFO'!$K$10:$K$115,'tuot-INFO'!$A$10:$A$115,'tuot-PVÄ'!B341)</f>
        <v>65.7</v>
      </c>
      <c r="AB341" s="224">
        <f>SUMIFS('rehu-vesi-INFO'!$R:$R,'rehu-vesi-INFO'!$A:$A,'tuot-PVÄ'!B341)</f>
        <v>1719</v>
      </c>
      <c r="AC341" s="224">
        <f>SUMIFS('rehu-vesi-INFO'!$S:$S,'rehu-vesi-INFO'!$A:$A,'tuot-PVÄ'!B341)</f>
        <v>1826</v>
      </c>
      <c r="AD341" s="224">
        <f t="shared" si="99"/>
        <v>107</v>
      </c>
      <c r="AE341" s="224">
        <f t="shared" si="100"/>
        <v>0</v>
      </c>
      <c r="AF341" s="224">
        <f t="shared" si="101"/>
        <v>171.9</v>
      </c>
      <c r="AG341" s="224">
        <f t="shared" si="102"/>
        <v>10.7</v>
      </c>
      <c r="AH341" s="257">
        <f t="shared" si="104"/>
        <v>0</v>
      </c>
      <c r="AI341" s="258">
        <f t="shared" si="105"/>
        <v>0</v>
      </c>
      <c r="AJ341" s="55">
        <f>SUMIFS('tuot-INFO'!W:W,'tuot-INFO'!$A:$A,'tuot-PVÄ'!B341)</f>
        <v>80.165999999999997</v>
      </c>
      <c r="AK341" s="55">
        <f>SUMIFS('tuot-INFO'!X:X,'tuot-INFO'!$A:$A,'tuot-PVÄ'!B341)</f>
        <v>8.6200000000000045</v>
      </c>
    </row>
    <row r="342" spans="1:37" x14ac:dyDescent="0.25">
      <c r="A342" s="169">
        <f t="shared" si="103"/>
        <v>42828</v>
      </c>
      <c r="B342" s="23">
        <f>ROUNDUP((A342-Yleistiedot!$B$4)/7,0)</f>
        <v>66</v>
      </c>
      <c r="C342" s="16"/>
      <c r="D342" s="25"/>
      <c r="E342" s="25"/>
      <c r="F342" s="25"/>
      <c r="G342" s="25"/>
      <c r="H342" s="25"/>
      <c r="I342" s="65">
        <f t="shared" si="98"/>
        <v>0</v>
      </c>
      <c r="J342" s="26"/>
      <c r="K342" s="25"/>
      <c r="L342" s="16"/>
      <c r="M342" s="16"/>
      <c r="N342" s="25"/>
      <c r="O342" s="30"/>
      <c r="P342" s="252">
        <f t="shared" si="110"/>
        <v>9990</v>
      </c>
      <c r="Q342" s="253">
        <f t="shared" si="111"/>
        <v>0</v>
      </c>
      <c r="R342" s="253">
        <f t="shared" si="112"/>
        <v>0</v>
      </c>
      <c r="S342" s="251">
        <f>SUMIFS('tuot-rehukirjanpito'!D:D,'tuot-rehukirjanpito'!A:A,A342)</f>
        <v>0</v>
      </c>
      <c r="T342" s="254">
        <f t="shared" si="106"/>
        <v>1098.9000000000001</v>
      </c>
      <c r="U342" s="254">
        <f t="shared" si="107"/>
        <v>1098.8999999999999</v>
      </c>
      <c r="V342" s="252">
        <f t="shared" si="108"/>
        <v>-373626.0000000014</v>
      </c>
      <c r="W342" s="255">
        <f t="shared" si="109"/>
        <v>-340.00000000000125</v>
      </c>
      <c r="X342" s="256" t="str">
        <f t="shared" si="96"/>
        <v/>
      </c>
      <c r="Y342" s="256" t="str">
        <f t="shared" si="97"/>
        <v/>
      </c>
      <c r="Z342" s="224" t="str">
        <f>IF(IFERROR(INDEX('tuot-rehukirjanpito'!I:I,MATCH(A342,'tuot-rehukirjanpito'!G:G,0)),)=0,"",INDEX('tuot-rehukirjanpito'!I:I,MATCH(A342,'tuot-rehukirjanpito'!G:G,0)))</f>
        <v/>
      </c>
      <c r="AA342" s="224">
        <f>SUMIFS('tuot-INFO'!$K$10:$K$115,'tuot-INFO'!$A$10:$A$115,'tuot-PVÄ'!B342)</f>
        <v>65.7</v>
      </c>
      <c r="AB342" s="224">
        <f>SUMIFS('rehu-vesi-INFO'!$R:$R,'rehu-vesi-INFO'!$A:$A,'tuot-PVÄ'!B342)</f>
        <v>1719</v>
      </c>
      <c r="AC342" s="224">
        <f>SUMIFS('rehu-vesi-INFO'!$S:$S,'rehu-vesi-INFO'!$A:$A,'tuot-PVÄ'!B342)</f>
        <v>1826</v>
      </c>
      <c r="AD342" s="224">
        <f t="shared" si="99"/>
        <v>107</v>
      </c>
      <c r="AE342" s="224">
        <f t="shared" si="100"/>
        <v>0</v>
      </c>
      <c r="AF342" s="224">
        <f t="shared" si="101"/>
        <v>171.9</v>
      </c>
      <c r="AG342" s="224">
        <f t="shared" si="102"/>
        <v>10.7</v>
      </c>
      <c r="AH342" s="257">
        <f t="shared" si="104"/>
        <v>0</v>
      </c>
      <c r="AI342" s="258">
        <f t="shared" si="105"/>
        <v>0</v>
      </c>
      <c r="AJ342" s="55">
        <f>SUMIFS('tuot-INFO'!W:W,'tuot-INFO'!$A:$A,'tuot-PVÄ'!B342)</f>
        <v>80.165999999999997</v>
      </c>
      <c r="AK342" s="55">
        <f>SUMIFS('tuot-INFO'!X:X,'tuot-INFO'!$A:$A,'tuot-PVÄ'!B342)</f>
        <v>8.6200000000000045</v>
      </c>
    </row>
    <row r="343" spans="1:37" x14ac:dyDescent="0.25">
      <c r="A343" s="169">
        <f t="shared" si="103"/>
        <v>42829</v>
      </c>
      <c r="B343" s="23">
        <f>ROUNDUP((A343-Yleistiedot!$B$4)/7,0)</f>
        <v>66</v>
      </c>
      <c r="C343" s="16"/>
      <c r="D343" s="25"/>
      <c r="E343" s="25"/>
      <c r="F343" s="25"/>
      <c r="G343" s="25"/>
      <c r="H343" s="25"/>
      <c r="I343" s="65">
        <f t="shared" si="98"/>
        <v>0</v>
      </c>
      <c r="J343" s="26"/>
      <c r="K343" s="25"/>
      <c r="L343" s="16"/>
      <c r="M343" s="16"/>
      <c r="N343" s="25"/>
      <c r="O343" s="30"/>
      <c r="P343" s="252">
        <f t="shared" si="110"/>
        <v>9990</v>
      </c>
      <c r="Q343" s="253">
        <f t="shared" si="111"/>
        <v>0</v>
      </c>
      <c r="R343" s="253">
        <f t="shared" si="112"/>
        <v>0</v>
      </c>
      <c r="S343" s="251">
        <f>SUMIFS('tuot-rehukirjanpito'!D:D,'tuot-rehukirjanpito'!A:A,A343)</f>
        <v>0</v>
      </c>
      <c r="T343" s="254">
        <f t="shared" si="106"/>
        <v>1098.9000000000001</v>
      </c>
      <c r="U343" s="254">
        <f t="shared" si="107"/>
        <v>1098.8999999999999</v>
      </c>
      <c r="V343" s="252">
        <f t="shared" si="108"/>
        <v>-374724.90000000142</v>
      </c>
      <c r="W343" s="255">
        <f t="shared" si="109"/>
        <v>-341.00000000000125</v>
      </c>
      <c r="X343" s="256" t="str">
        <f t="shared" ref="X343:X406" si="113">IF(S343&lt;&gt;0,ROUND(A343+W342,0),"")</f>
        <v/>
      </c>
      <c r="Y343" s="256" t="str">
        <f t="shared" ref="Y343:Y406" si="114">IF(S343&lt;&gt;0,ROUND(A343+W343,0),"")</f>
        <v/>
      </c>
      <c r="Z343" s="224" t="str">
        <f>IF(IFERROR(INDEX('tuot-rehukirjanpito'!I:I,MATCH(A343,'tuot-rehukirjanpito'!G:G,0)),)=0,"",INDEX('tuot-rehukirjanpito'!I:I,MATCH(A343,'tuot-rehukirjanpito'!G:G,0)))</f>
        <v/>
      </c>
      <c r="AA343" s="224">
        <f>SUMIFS('tuot-INFO'!$K$10:$K$115,'tuot-INFO'!$A$10:$A$115,'tuot-PVÄ'!B343)</f>
        <v>65.7</v>
      </c>
      <c r="AB343" s="224">
        <f>SUMIFS('rehu-vesi-INFO'!$R:$R,'rehu-vesi-INFO'!$A:$A,'tuot-PVÄ'!B343)</f>
        <v>1719</v>
      </c>
      <c r="AC343" s="224">
        <f>SUMIFS('rehu-vesi-INFO'!$S:$S,'rehu-vesi-INFO'!$A:$A,'tuot-PVÄ'!B343)</f>
        <v>1826</v>
      </c>
      <c r="AD343" s="224">
        <f t="shared" si="99"/>
        <v>107</v>
      </c>
      <c r="AE343" s="224">
        <f t="shared" si="100"/>
        <v>0</v>
      </c>
      <c r="AF343" s="224">
        <f t="shared" si="101"/>
        <v>171.9</v>
      </c>
      <c r="AG343" s="224">
        <f t="shared" si="102"/>
        <v>10.7</v>
      </c>
      <c r="AH343" s="257">
        <f t="shared" si="104"/>
        <v>0</v>
      </c>
      <c r="AI343" s="258">
        <f t="shared" si="105"/>
        <v>0</v>
      </c>
      <c r="AJ343" s="55">
        <f>SUMIFS('tuot-INFO'!W:W,'tuot-INFO'!$A:$A,'tuot-PVÄ'!B343)</f>
        <v>80.165999999999997</v>
      </c>
      <c r="AK343" s="55">
        <f>SUMIFS('tuot-INFO'!X:X,'tuot-INFO'!$A:$A,'tuot-PVÄ'!B343)</f>
        <v>8.6200000000000045</v>
      </c>
    </row>
    <row r="344" spans="1:37" x14ac:dyDescent="0.25">
      <c r="A344" s="169">
        <f t="shared" si="103"/>
        <v>42830</v>
      </c>
      <c r="B344" s="23">
        <f>ROUNDUP((A344-Yleistiedot!$B$4)/7,0)</f>
        <v>66</v>
      </c>
      <c r="C344" s="16"/>
      <c r="D344" s="25"/>
      <c r="E344" s="25"/>
      <c r="F344" s="25"/>
      <c r="G344" s="25"/>
      <c r="H344" s="25"/>
      <c r="I344" s="65">
        <f t="shared" si="98"/>
        <v>0</v>
      </c>
      <c r="J344" s="26"/>
      <c r="K344" s="25"/>
      <c r="L344" s="16"/>
      <c r="M344" s="16"/>
      <c r="N344" s="25"/>
      <c r="O344" s="30"/>
      <c r="P344" s="252">
        <f t="shared" si="110"/>
        <v>9990</v>
      </c>
      <c r="Q344" s="253">
        <f t="shared" si="111"/>
        <v>0</v>
      </c>
      <c r="R344" s="253">
        <f t="shared" si="112"/>
        <v>0</v>
      </c>
      <c r="S344" s="251">
        <f>SUMIFS('tuot-rehukirjanpito'!D:D,'tuot-rehukirjanpito'!A:A,A344)</f>
        <v>0</v>
      </c>
      <c r="T344" s="254">
        <f t="shared" si="106"/>
        <v>1098.9000000000001</v>
      </c>
      <c r="U344" s="254">
        <f t="shared" si="107"/>
        <v>1098.8999999999999</v>
      </c>
      <c r="V344" s="252">
        <f t="shared" si="108"/>
        <v>-375823.80000000144</v>
      </c>
      <c r="W344" s="255">
        <f t="shared" si="109"/>
        <v>-342.00000000000131</v>
      </c>
      <c r="X344" s="256" t="str">
        <f t="shared" si="113"/>
        <v/>
      </c>
      <c r="Y344" s="256" t="str">
        <f t="shared" si="114"/>
        <v/>
      </c>
      <c r="Z344" s="224" t="str">
        <f>IF(IFERROR(INDEX('tuot-rehukirjanpito'!I:I,MATCH(A344,'tuot-rehukirjanpito'!G:G,0)),)=0,"",INDEX('tuot-rehukirjanpito'!I:I,MATCH(A344,'tuot-rehukirjanpito'!G:G,0)))</f>
        <v/>
      </c>
      <c r="AA344" s="224">
        <f>SUMIFS('tuot-INFO'!$K$10:$K$115,'tuot-INFO'!$A$10:$A$115,'tuot-PVÄ'!B344)</f>
        <v>65.7</v>
      </c>
      <c r="AB344" s="224">
        <f>SUMIFS('rehu-vesi-INFO'!$R:$R,'rehu-vesi-INFO'!$A:$A,'tuot-PVÄ'!B344)</f>
        <v>1719</v>
      </c>
      <c r="AC344" s="224">
        <f>SUMIFS('rehu-vesi-INFO'!$S:$S,'rehu-vesi-INFO'!$A:$A,'tuot-PVÄ'!B344)</f>
        <v>1826</v>
      </c>
      <c r="AD344" s="224">
        <f t="shared" si="99"/>
        <v>107</v>
      </c>
      <c r="AE344" s="224">
        <f t="shared" si="100"/>
        <v>0</v>
      </c>
      <c r="AF344" s="224">
        <f t="shared" si="101"/>
        <v>171.9</v>
      </c>
      <c r="AG344" s="224">
        <f t="shared" si="102"/>
        <v>10.7</v>
      </c>
      <c r="AH344" s="257">
        <f t="shared" si="104"/>
        <v>0</v>
      </c>
      <c r="AI344" s="258">
        <f t="shared" si="105"/>
        <v>0</v>
      </c>
      <c r="AJ344" s="55">
        <f>SUMIFS('tuot-INFO'!W:W,'tuot-INFO'!$A:$A,'tuot-PVÄ'!B344)</f>
        <v>80.165999999999997</v>
      </c>
      <c r="AK344" s="55">
        <f>SUMIFS('tuot-INFO'!X:X,'tuot-INFO'!$A:$A,'tuot-PVÄ'!B344)</f>
        <v>8.6200000000000045</v>
      </c>
    </row>
    <row r="345" spans="1:37" x14ac:dyDescent="0.25">
      <c r="A345" s="169">
        <f t="shared" si="103"/>
        <v>42831</v>
      </c>
      <c r="B345" s="23">
        <f>ROUNDUP((A345-Yleistiedot!$B$4)/7,0)</f>
        <v>66</v>
      </c>
      <c r="C345" s="16"/>
      <c r="D345" s="25"/>
      <c r="E345" s="25"/>
      <c r="F345" s="25"/>
      <c r="G345" s="25"/>
      <c r="H345" s="25"/>
      <c r="I345" s="65">
        <f t="shared" si="98"/>
        <v>0</v>
      </c>
      <c r="J345" s="26"/>
      <c r="K345" s="25"/>
      <c r="L345" s="16"/>
      <c r="M345" s="16"/>
      <c r="N345" s="25"/>
      <c r="O345" s="30"/>
      <c r="P345" s="252">
        <f t="shared" si="110"/>
        <v>9990</v>
      </c>
      <c r="Q345" s="253">
        <f t="shared" si="111"/>
        <v>0</v>
      </c>
      <c r="R345" s="253">
        <f t="shared" si="112"/>
        <v>0</v>
      </c>
      <c r="S345" s="251">
        <f>SUMIFS('tuot-rehukirjanpito'!D:D,'tuot-rehukirjanpito'!A:A,A345)</f>
        <v>0</v>
      </c>
      <c r="T345" s="254">
        <f t="shared" si="106"/>
        <v>1098.9000000000001</v>
      </c>
      <c r="U345" s="254">
        <f t="shared" si="107"/>
        <v>1098.8999999999999</v>
      </c>
      <c r="V345" s="252">
        <f t="shared" si="108"/>
        <v>-376922.70000000147</v>
      </c>
      <c r="W345" s="255">
        <f t="shared" si="109"/>
        <v>-343.00000000000131</v>
      </c>
      <c r="X345" s="256" t="str">
        <f t="shared" si="113"/>
        <v/>
      </c>
      <c r="Y345" s="256" t="str">
        <f t="shared" si="114"/>
        <v/>
      </c>
      <c r="Z345" s="224" t="str">
        <f>IF(IFERROR(INDEX('tuot-rehukirjanpito'!I:I,MATCH(A345,'tuot-rehukirjanpito'!G:G,0)),)=0,"",INDEX('tuot-rehukirjanpito'!I:I,MATCH(A345,'tuot-rehukirjanpito'!G:G,0)))</f>
        <v/>
      </c>
      <c r="AA345" s="224">
        <f>SUMIFS('tuot-INFO'!$K$10:$K$115,'tuot-INFO'!$A$10:$A$115,'tuot-PVÄ'!B345)</f>
        <v>65.7</v>
      </c>
      <c r="AB345" s="224">
        <f>SUMIFS('rehu-vesi-INFO'!$R:$R,'rehu-vesi-INFO'!$A:$A,'tuot-PVÄ'!B345)</f>
        <v>1719</v>
      </c>
      <c r="AC345" s="224">
        <f>SUMIFS('rehu-vesi-INFO'!$S:$S,'rehu-vesi-INFO'!$A:$A,'tuot-PVÄ'!B345)</f>
        <v>1826</v>
      </c>
      <c r="AD345" s="224">
        <f t="shared" si="99"/>
        <v>107</v>
      </c>
      <c r="AE345" s="224">
        <f t="shared" si="100"/>
        <v>0</v>
      </c>
      <c r="AF345" s="224">
        <f t="shared" si="101"/>
        <v>171.9</v>
      </c>
      <c r="AG345" s="224">
        <f t="shared" si="102"/>
        <v>10.7</v>
      </c>
      <c r="AH345" s="257">
        <f t="shared" si="104"/>
        <v>0</v>
      </c>
      <c r="AI345" s="258">
        <f t="shared" si="105"/>
        <v>0</v>
      </c>
      <c r="AJ345" s="55">
        <f>SUMIFS('tuot-INFO'!W:W,'tuot-INFO'!$A:$A,'tuot-PVÄ'!B345)</f>
        <v>80.165999999999997</v>
      </c>
      <c r="AK345" s="55">
        <f>SUMIFS('tuot-INFO'!X:X,'tuot-INFO'!$A:$A,'tuot-PVÄ'!B345)</f>
        <v>8.6200000000000045</v>
      </c>
    </row>
    <row r="346" spans="1:37" x14ac:dyDescent="0.25">
      <c r="A346" s="169">
        <f t="shared" si="103"/>
        <v>42832</v>
      </c>
      <c r="B346" s="23">
        <f>ROUNDUP((A346-Yleistiedot!$B$4)/7,0)</f>
        <v>66</v>
      </c>
      <c r="C346" s="16"/>
      <c r="D346" s="25"/>
      <c r="E346" s="25"/>
      <c r="F346" s="25"/>
      <c r="G346" s="25"/>
      <c r="H346" s="25"/>
      <c r="I346" s="65">
        <f t="shared" si="98"/>
        <v>0</v>
      </c>
      <c r="J346" s="26"/>
      <c r="K346" s="25"/>
      <c r="L346" s="16"/>
      <c r="M346" s="16"/>
      <c r="N346" s="25"/>
      <c r="O346" s="30"/>
      <c r="P346" s="252">
        <f t="shared" si="110"/>
        <v>9990</v>
      </c>
      <c r="Q346" s="253">
        <f t="shared" si="111"/>
        <v>0</v>
      </c>
      <c r="R346" s="253">
        <f t="shared" si="112"/>
        <v>0</v>
      </c>
      <c r="S346" s="251">
        <f>SUMIFS('tuot-rehukirjanpito'!D:D,'tuot-rehukirjanpito'!A:A,A346)</f>
        <v>0</v>
      </c>
      <c r="T346" s="254">
        <f t="shared" si="106"/>
        <v>1098.9000000000001</v>
      </c>
      <c r="U346" s="254">
        <f t="shared" si="107"/>
        <v>1098.8999999999999</v>
      </c>
      <c r="V346" s="252">
        <f t="shared" si="108"/>
        <v>-378021.60000000149</v>
      </c>
      <c r="W346" s="255">
        <f t="shared" si="109"/>
        <v>-344.00000000000131</v>
      </c>
      <c r="X346" s="256" t="str">
        <f t="shared" si="113"/>
        <v/>
      </c>
      <c r="Y346" s="256" t="str">
        <f t="shared" si="114"/>
        <v/>
      </c>
      <c r="Z346" s="224" t="str">
        <f>IF(IFERROR(INDEX('tuot-rehukirjanpito'!I:I,MATCH(A346,'tuot-rehukirjanpito'!G:G,0)),)=0,"",INDEX('tuot-rehukirjanpito'!I:I,MATCH(A346,'tuot-rehukirjanpito'!G:G,0)))</f>
        <v/>
      </c>
      <c r="AA346" s="224">
        <f>SUMIFS('tuot-INFO'!$K$10:$K$115,'tuot-INFO'!$A$10:$A$115,'tuot-PVÄ'!B346)</f>
        <v>65.7</v>
      </c>
      <c r="AB346" s="224">
        <f>SUMIFS('rehu-vesi-INFO'!$R:$R,'rehu-vesi-INFO'!$A:$A,'tuot-PVÄ'!B346)</f>
        <v>1719</v>
      </c>
      <c r="AC346" s="224">
        <f>SUMIFS('rehu-vesi-INFO'!$S:$S,'rehu-vesi-INFO'!$A:$A,'tuot-PVÄ'!B346)</f>
        <v>1826</v>
      </c>
      <c r="AD346" s="224">
        <f t="shared" si="99"/>
        <v>107</v>
      </c>
      <c r="AE346" s="224">
        <f t="shared" si="100"/>
        <v>0</v>
      </c>
      <c r="AF346" s="224">
        <f t="shared" si="101"/>
        <v>171.9</v>
      </c>
      <c r="AG346" s="224">
        <f t="shared" si="102"/>
        <v>10.7</v>
      </c>
      <c r="AH346" s="257">
        <f t="shared" si="104"/>
        <v>0</v>
      </c>
      <c r="AI346" s="258">
        <f t="shared" si="105"/>
        <v>0</v>
      </c>
      <c r="AJ346" s="55">
        <f>SUMIFS('tuot-INFO'!W:W,'tuot-INFO'!$A:$A,'tuot-PVÄ'!B346)</f>
        <v>80.165999999999997</v>
      </c>
      <c r="AK346" s="55">
        <f>SUMIFS('tuot-INFO'!X:X,'tuot-INFO'!$A:$A,'tuot-PVÄ'!B346)</f>
        <v>8.6200000000000045</v>
      </c>
    </row>
    <row r="347" spans="1:37" x14ac:dyDescent="0.25">
      <c r="A347" s="169">
        <f t="shared" si="103"/>
        <v>42833</v>
      </c>
      <c r="B347" s="23">
        <f>ROUNDUP((A347-Yleistiedot!$B$4)/7,0)</f>
        <v>67</v>
      </c>
      <c r="C347" s="16"/>
      <c r="D347" s="25"/>
      <c r="E347" s="25"/>
      <c r="F347" s="25"/>
      <c r="G347" s="25"/>
      <c r="H347" s="25"/>
      <c r="I347" s="65">
        <f t="shared" si="98"/>
        <v>0</v>
      </c>
      <c r="J347" s="26"/>
      <c r="K347" s="25"/>
      <c r="L347" s="16"/>
      <c r="M347" s="16"/>
      <c r="N347" s="25"/>
      <c r="O347" s="30"/>
      <c r="P347" s="252">
        <f t="shared" si="110"/>
        <v>9990</v>
      </c>
      <c r="Q347" s="253">
        <f t="shared" si="111"/>
        <v>0</v>
      </c>
      <c r="R347" s="253">
        <f t="shared" si="112"/>
        <v>0</v>
      </c>
      <c r="S347" s="251">
        <f>SUMIFS('tuot-rehukirjanpito'!D:D,'tuot-rehukirjanpito'!A:A,A347)</f>
        <v>0</v>
      </c>
      <c r="T347" s="254">
        <f t="shared" si="106"/>
        <v>1098.9000000000001</v>
      </c>
      <c r="U347" s="254">
        <f t="shared" si="107"/>
        <v>1098.8999999999999</v>
      </c>
      <c r="V347" s="252">
        <f t="shared" si="108"/>
        <v>-379120.50000000151</v>
      </c>
      <c r="W347" s="255">
        <f t="shared" si="109"/>
        <v>-345.00000000000136</v>
      </c>
      <c r="X347" s="256" t="str">
        <f t="shared" si="113"/>
        <v/>
      </c>
      <c r="Y347" s="256" t="str">
        <f t="shared" si="114"/>
        <v/>
      </c>
      <c r="Z347" s="224" t="str">
        <f>IF(IFERROR(INDEX('tuot-rehukirjanpito'!I:I,MATCH(A347,'tuot-rehukirjanpito'!G:G,0)),)=0,"",INDEX('tuot-rehukirjanpito'!I:I,MATCH(A347,'tuot-rehukirjanpito'!G:G,0)))</f>
        <v/>
      </c>
      <c r="AA347" s="224">
        <f>SUMIFS('tuot-INFO'!$K$10:$K$115,'tuot-INFO'!$A$10:$A$115,'tuot-PVÄ'!B347)</f>
        <v>65.7</v>
      </c>
      <c r="AB347" s="224">
        <f>SUMIFS('rehu-vesi-INFO'!$R:$R,'rehu-vesi-INFO'!$A:$A,'tuot-PVÄ'!B347)</f>
        <v>1721</v>
      </c>
      <c r="AC347" s="224">
        <f>SUMIFS('rehu-vesi-INFO'!$S:$S,'rehu-vesi-INFO'!$A:$A,'tuot-PVÄ'!B347)</f>
        <v>1827</v>
      </c>
      <c r="AD347" s="224">
        <f t="shared" si="99"/>
        <v>106</v>
      </c>
      <c r="AE347" s="224">
        <f t="shared" si="100"/>
        <v>0</v>
      </c>
      <c r="AF347" s="224">
        <f t="shared" si="101"/>
        <v>172.1</v>
      </c>
      <c r="AG347" s="224">
        <f t="shared" si="102"/>
        <v>10.6</v>
      </c>
      <c r="AH347" s="257">
        <f t="shared" si="104"/>
        <v>0</v>
      </c>
      <c r="AI347" s="258">
        <f t="shared" si="105"/>
        <v>0</v>
      </c>
      <c r="AJ347" s="55">
        <f>SUMIFS('tuot-INFO'!W:W,'tuot-INFO'!$A:$A,'tuot-PVÄ'!B347)</f>
        <v>79.60799999999999</v>
      </c>
      <c r="AK347" s="55">
        <f>SUMIFS('tuot-INFO'!X:X,'tuot-INFO'!$A:$A,'tuot-PVÄ'!B347)</f>
        <v>8.5600000000000023</v>
      </c>
    </row>
    <row r="348" spans="1:37" x14ac:dyDescent="0.25">
      <c r="A348" s="169">
        <f t="shared" si="103"/>
        <v>42834</v>
      </c>
      <c r="B348" s="23">
        <f>ROUNDUP((A348-Yleistiedot!$B$4)/7,0)</f>
        <v>67</v>
      </c>
      <c r="C348" s="16"/>
      <c r="D348" s="25"/>
      <c r="E348" s="25"/>
      <c r="F348" s="25"/>
      <c r="G348" s="25"/>
      <c r="H348" s="25"/>
      <c r="I348" s="65">
        <f t="shared" si="98"/>
        <v>0</v>
      </c>
      <c r="J348" s="26"/>
      <c r="K348" s="25"/>
      <c r="L348" s="16"/>
      <c r="M348" s="16"/>
      <c r="N348" s="25"/>
      <c r="O348" s="30"/>
      <c r="P348" s="252">
        <f t="shared" si="110"/>
        <v>9990</v>
      </c>
      <c r="Q348" s="253">
        <f t="shared" si="111"/>
        <v>0</v>
      </c>
      <c r="R348" s="253">
        <f t="shared" si="112"/>
        <v>0</v>
      </c>
      <c r="S348" s="251">
        <f>SUMIFS('tuot-rehukirjanpito'!D:D,'tuot-rehukirjanpito'!A:A,A348)</f>
        <v>0</v>
      </c>
      <c r="T348" s="254">
        <f t="shared" si="106"/>
        <v>1098.9000000000001</v>
      </c>
      <c r="U348" s="254">
        <f t="shared" si="107"/>
        <v>1098.8999999999999</v>
      </c>
      <c r="V348" s="252">
        <f t="shared" si="108"/>
        <v>-380219.40000000154</v>
      </c>
      <c r="W348" s="255">
        <f t="shared" si="109"/>
        <v>-346.00000000000136</v>
      </c>
      <c r="X348" s="256" t="str">
        <f t="shared" si="113"/>
        <v/>
      </c>
      <c r="Y348" s="256" t="str">
        <f t="shared" si="114"/>
        <v/>
      </c>
      <c r="Z348" s="224" t="str">
        <f>IF(IFERROR(INDEX('tuot-rehukirjanpito'!I:I,MATCH(A348,'tuot-rehukirjanpito'!G:G,0)),)=0,"",INDEX('tuot-rehukirjanpito'!I:I,MATCH(A348,'tuot-rehukirjanpito'!G:G,0)))</f>
        <v/>
      </c>
      <c r="AA348" s="224">
        <f>SUMIFS('tuot-INFO'!$K$10:$K$115,'tuot-INFO'!$A$10:$A$115,'tuot-PVÄ'!B348)</f>
        <v>65.7</v>
      </c>
      <c r="AB348" s="224">
        <f>SUMIFS('rehu-vesi-INFO'!$R:$R,'rehu-vesi-INFO'!$A:$A,'tuot-PVÄ'!B348)</f>
        <v>1721</v>
      </c>
      <c r="AC348" s="224">
        <f>SUMIFS('rehu-vesi-INFO'!$S:$S,'rehu-vesi-INFO'!$A:$A,'tuot-PVÄ'!B348)</f>
        <v>1827</v>
      </c>
      <c r="AD348" s="224">
        <f t="shared" si="99"/>
        <v>106</v>
      </c>
      <c r="AE348" s="224">
        <f t="shared" si="100"/>
        <v>0</v>
      </c>
      <c r="AF348" s="224">
        <f t="shared" si="101"/>
        <v>172.1</v>
      </c>
      <c r="AG348" s="224">
        <f t="shared" si="102"/>
        <v>10.6</v>
      </c>
      <c r="AH348" s="257">
        <f t="shared" si="104"/>
        <v>0</v>
      </c>
      <c r="AI348" s="258">
        <f t="shared" si="105"/>
        <v>0</v>
      </c>
      <c r="AJ348" s="55">
        <f>SUMIFS('tuot-INFO'!W:W,'tuot-INFO'!$A:$A,'tuot-PVÄ'!B348)</f>
        <v>79.60799999999999</v>
      </c>
      <c r="AK348" s="55">
        <f>SUMIFS('tuot-INFO'!X:X,'tuot-INFO'!$A:$A,'tuot-PVÄ'!B348)</f>
        <v>8.5600000000000023</v>
      </c>
    </row>
    <row r="349" spans="1:37" x14ac:dyDescent="0.25">
      <c r="A349" s="169">
        <f t="shared" si="103"/>
        <v>42835</v>
      </c>
      <c r="B349" s="23">
        <f>ROUNDUP((A349-Yleistiedot!$B$4)/7,0)</f>
        <v>67</v>
      </c>
      <c r="C349" s="16"/>
      <c r="D349" s="25"/>
      <c r="E349" s="25"/>
      <c r="F349" s="25"/>
      <c r="G349" s="25"/>
      <c r="H349" s="25"/>
      <c r="I349" s="65">
        <f t="shared" si="98"/>
        <v>0</v>
      </c>
      <c r="J349" s="26"/>
      <c r="K349" s="25"/>
      <c r="L349" s="16"/>
      <c r="M349" s="16"/>
      <c r="N349" s="25"/>
      <c r="O349" s="30"/>
      <c r="P349" s="252">
        <f t="shared" si="110"/>
        <v>9990</v>
      </c>
      <c r="Q349" s="253">
        <f t="shared" si="111"/>
        <v>0</v>
      </c>
      <c r="R349" s="253">
        <f t="shared" si="112"/>
        <v>0</v>
      </c>
      <c r="S349" s="251">
        <f>SUMIFS('tuot-rehukirjanpito'!D:D,'tuot-rehukirjanpito'!A:A,A349)</f>
        <v>0</v>
      </c>
      <c r="T349" s="254">
        <f t="shared" si="106"/>
        <v>1098.9000000000001</v>
      </c>
      <c r="U349" s="254">
        <f t="shared" si="107"/>
        <v>1098.8999999999999</v>
      </c>
      <c r="V349" s="252">
        <f t="shared" si="108"/>
        <v>-381318.30000000156</v>
      </c>
      <c r="W349" s="255">
        <f t="shared" si="109"/>
        <v>-347.00000000000136</v>
      </c>
      <c r="X349" s="256" t="str">
        <f t="shared" si="113"/>
        <v/>
      </c>
      <c r="Y349" s="256" t="str">
        <f t="shared" si="114"/>
        <v/>
      </c>
      <c r="Z349" s="224" t="str">
        <f>IF(IFERROR(INDEX('tuot-rehukirjanpito'!I:I,MATCH(A349,'tuot-rehukirjanpito'!G:G,0)),)=0,"",INDEX('tuot-rehukirjanpito'!I:I,MATCH(A349,'tuot-rehukirjanpito'!G:G,0)))</f>
        <v/>
      </c>
      <c r="AA349" s="224">
        <f>SUMIFS('tuot-INFO'!$K$10:$K$115,'tuot-INFO'!$A$10:$A$115,'tuot-PVÄ'!B349)</f>
        <v>65.7</v>
      </c>
      <c r="AB349" s="224">
        <f>SUMIFS('rehu-vesi-INFO'!$R:$R,'rehu-vesi-INFO'!$A:$A,'tuot-PVÄ'!B349)</f>
        <v>1721</v>
      </c>
      <c r="AC349" s="224">
        <f>SUMIFS('rehu-vesi-INFO'!$S:$S,'rehu-vesi-INFO'!$A:$A,'tuot-PVÄ'!B349)</f>
        <v>1827</v>
      </c>
      <c r="AD349" s="224">
        <f t="shared" si="99"/>
        <v>106</v>
      </c>
      <c r="AE349" s="224">
        <f t="shared" si="100"/>
        <v>0</v>
      </c>
      <c r="AF349" s="224">
        <f t="shared" si="101"/>
        <v>172.1</v>
      </c>
      <c r="AG349" s="224">
        <f t="shared" si="102"/>
        <v>10.6</v>
      </c>
      <c r="AH349" s="257">
        <f t="shared" si="104"/>
        <v>0</v>
      </c>
      <c r="AI349" s="258">
        <f t="shared" si="105"/>
        <v>0</v>
      </c>
      <c r="AJ349" s="55">
        <f>SUMIFS('tuot-INFO'!W:W,'tuot-INFO'!$A:$A,'tuot-PVÄ'!B349)</f>
        <v>79.60799999999999</v>
      </c>
      <c r="AK349" s="55">
        <f>SUMIFS('tuot-INFO'!X:X,'tuot-INFO'!$A:$A,'tuot-PVÄ'!B349)</f>
        <v>8.5600000000000023</v>
      </c>
    </row>
    <row r="350" spans="1:37" x14ac:dyDescent="0.25">
      <c r="A350" s="169">
        <f t="shared" si="103"/>
        <v>42836</v>
      </c>
      <c r="B350" s="23">
        <f>ROUNDUP((A350-Yleistiedot!$B$4)/7,0)</f>
        <v>67</v>
      </c>
      <c r="C350" s="16"/>
      <c r="D350" s="25"/>
      <c r="E350" s="25"/>
      <c r="F350" s="25"/>
      <c r="G350" s="25"/>
      <c r="H350" s="25"/>
      <c r="I350" s="65">
        <f t="shared" si="98"/>
        <v>0</v>
      </c>
      <c r="J350" s="26"/>
      <c r="K350" s="25"/>
      <c r="L350" s="16"/>
      <c r="M350" s="16"/>
      <c r="N350" s="25"/>
      <c r="O350" s="30"/>
      <c r="P350" s="252">
        <f t="shared" si="110"/>
        <v>9990</v>
      </c>
      <c r="Q350" s="253">
        <f t="shared" si="111"/>
        <v>0</v>
      </c>
      <c r="R350" s="253">
        <f t="shared" si="112"/>
        <v>0</v>
      </c>
      <c r="S350" s="251">
        <f>SUMIFS('tuot-rehukirjanpito'!D:D,'tuot-rehukirjanpito'!A:A,A350)</f>
        <v>0</v>
      </c>
      <c r="T350" s="254">
        <f t="shared" si="106"/>
        <v>1098.9000000000001</v>
      </c>
      <c r="U350" s="254">
        <f t="shared" si="107"/>
        <v>1098.8999999999999</v>
      </c>
      <c r="V350" s="252">
        <f t="shared" si="108"/>
        <v>-382417.20000000158</v>
      </c>
      <c r="W350" s="255">
        <f t="shared" si="109"/>
        <v>-348.00000000000142</v>
      </c>
      <c r="X350" s="256" t="str">
        <f t="shared" si="113"/>
        <v/>
      </c>
      <c r="Y350" s="256" t="str">
        <f t="shared" si="114"/>
        <v/>
      </c>
      <c r="Z350" s="224" t="str">
        <f>IF(IFERROR(INDEX('tuot-rehukirjanpito'!I:I,MATCH(A350,'tuot-rehukirjanpito'!G:G,0)),)=0,"",INDEX('tuot-rehukirjanpito'!I:I,MATCH(A350,'tuot-rehukirjanpito'!G:G,0)))</f>
        <v/>
      </c>
      <c r="AA350" s="224">
        <f>SUMIFS('tuot-INFO'!$K$10:$K$115,'tuot-INFO'!$A$10:$A$115,'tuot-PVÄ'!B350)</f>
        <v>65.7</v>
      </c>
      <c r="AB350" s="224">
        <f>SUMIFS('rehu-vesi-INFO'!$R:$R,'rehu-vesi-INFO'!$A:$A,'tuot-PVÄ'!B350)</f>
        <v>1721</v>
      </c>
      <c r="AC350" s="224">
        <f>SUMIFS('rehu-vesi-INFO'!$S:$S,'rehu-vesi-INFO'!$A:$A,'tuot-PVÄ'!B350)</f>
        <v>1827</v>
      </c>
      <c r="AD350" s="224">
        <f t="shared" si="99"/>
        <v>106</v>
      </c>
      <c r="AE350" s="224">
        <f t="shared" si="100"/>
        <v>0</v>
      </c>
      <c r="AF350" s="224">
        <f t="shared" si="101"/>
        <v>172.1</v>
      </c>
      <c r="AG350" s="224">
        <f t="shared" si="102"/>
        <v>10.6</v>
      </c>
      <c r="AH350" s="257">
        <f t="shared" si="104"/>
        <v>0</v>
      </c>
      <c r="AI350" s="258">
        <f t="shared" si="105"/>
        <v>0</v>
      </c>
      <c r="AJ350" s="55">
        <f>SUMIFS('tuot-INFO'!W:W,'tuot-INFO'!$A:$A,'tuot-PVÄ'!B350)</f>
        <v>79.60799999999999</v>
      </c>
      <c r="AK350" s="55">
        <f>SUMIFS('tuot-INFO'!X:X,'tuot-INFO'!$A:$A,'tuot-PVÄ'!B350)</f>
        <v>8.5600000000000023</v>
      </c>
    </row>
    <row r="351" spans="1:37" x14ac:dyDescent="0.25">
      <c r="A351" s="169">
        <f t="shared" si="103"/>
        <v>42837</v>
      </c>
      <c r="B351" s="23">
        <f>ROUNDUP((A351-Yleistiedot!$B$4)/7,0)</f>
        <v>67</v>
      </c>
      <c r="C351" s="16"/>
      <c r="D351" s="25"/>
      <c r="E351" s="25"/>
      <c r="F351" s="25"/>
      <c r="G351" s="25"/>
      <c r="H351" s="25"/>
      <c r="I351" s="65">
        <f t="shared" si="98"/>
        <v>0</v>
      </c>
      <c r="J351" s="26"/>
      <c r="K351" s="25"/>
      <c r="L351" s="16"/>
      <c r="M351" s="16"/>
      <c r="N351" s="25"/>
      <c r="O351" s="30"/>
      <c r="P351" s="252">
        <f t="shared" si="110"/>
        <v>9990</v>
      </c>
      <c r="Q351" s="253">
        <f t="shared" si="111"/>
        <v>0</v>
      </c>
      <c r="R351" s="253">
        <f t="shared" si="112"/>
        <v>0</v>
      </c>
      <c r="S351" s="251">
        <f>SUMIFS('tuot-rehukirjanpito'!D:D,'tuot-rehukirjanpito'!A:A,A351)</f>
        <v>0</v>
      </c>
      <c r="T351" s="254">
        <f t="shared" si="106"/>
        <v>1098.9000000000001</v>
      </c>
      <c r="U351" s="254">
        <f t="shared" si="107"/>
        <v>1098.8999999999999</v>
      </c>
      <c r="V351" s="252">
        <f t="shared" si="108"/>
        <v>-383516.10000000161</v>
      </c>
      <c r="W351" s="255">
        <f t="shared" si="109"/>
        <v>-349.00000000000142</v>
      </c>
      <c r="X351" s="256" t="str">
        <f t="shared" si="113"/>
        <v/>
      </c>
      <c r="Y351" s="256" t="str">
        <f t="shared" si="114"/>
        <v/>
      </c>
      <c r="Z351" s="224" t="str">
        <f>IF(IFERROR(INDEX('tuot-rehukirjanpito'!I:I,MATCH(A351,'tuot-rehukirjanpito'!G:G,0)),)=0,"",INDEX('tuot-rehukirjanpito'!I:I,MATCH(A351,'tuot-rehukirjanpito'!G:G,0)))</f>
        <v/>
      </c>
      <c r="AA351" s="224">
        <f>SUMIFS('tuot-INFO'!$K$10:$K$115,'tuot-INFO'!$A$10:$A$115,'tuot-PVÄ'!B351)</f>
        <v>65.7</v>
      </c>
      <c r="AB351" s="224">
        <f>SUMIFS('rehu-vesi-INFO'!$R:$R,'rehu-vesi-INFO'!$A:$A,'tuot-PVÄ'!B351)</f>
        <v>1721</v>
      </c>
      <c r="AC351" s="224">
        <f>SUMIFS('rehu-vesi-INFO'!$S:$S,'rehu-vesi-INFO'!$A:$A,'tuot-PVÄ'!B351)</f>
        <v>1827</v>
      </c>
      <c r="AD351" s="224">
        <f t="shared" si="99"/>
        <v>106</v>
      </c>
      <c r="AE351" s="224">
        <f t="shared" si="100"/>
        <v>0</v>
      </c>
      <c r="AF351" s="224">
        <f t="shared" si="101"/>
        <v>172.1</v>
      </c>
      <c r="AG351" s="224">
        <f t="shared" si="102"/>
        <v>10.6</v>
      </c>
      <c r="AH351" s="257">
        <f t="shared" si="104"/>
        <v>0</v>
      </c>
      <c r="AI351" s="258">
        <f t="shared" si="105"/>
        <v>0</v>
      </c>
      <c r="AJ351" s="55">
        <f>SUMIFS('tuot-INFO'!W:W,'tuot-INFO'!$A:$A,'tuot-PVÄ'!B351)</f>
        <v>79.60799999999999</v>
      </c>
      <c r="AK351" s="55">
        <f>SUMIFS('tuot-INFO'!X:X,'tuot-INFO'!$A:$A,'tuot-PVÄ'!B351)</f>
        <v>8.5600000000000023</v>
      </c>
    </row>
    <row r="352" spans="1:37" x14ac:dyDescent="0.25">
      <c r="A352" s="169">
        <f t="shared" si="103"/>
        <v>42838</v>
      </c>
      <c r="B352" s="23">
        <f>ROUNDUP((A352-Yleistiedot!$B$4)/7,0)</f>
        <v>67</v>
      </c>
      <c r="C352" s="16"/>
      <c r="D352" s="25"/>
      <c r="E352" s="25"/>
      <c r="F352" s="25"/>
      <c r="G352" s="25"/>
      <c r="H352" s="25"/>
      <c r="I352" s="65">
        <f t="shared" si="98"/>
        <v>0</v>
      </c>
      <c r="J352" s="26"/>
      <c r="K352" s="25"/>
      <c r="L352" s="16"/>
      <c r="M352" s="16"/>
      <c r="N352" s="25"/>
      <c r="O352" s="30"/>
      <c r="P352" s="252">
        <f t="shared" si="110"/>
        <v>9990</v>
      </c>
      <c r="Q352" s="253">
        <f t="shared" si="111"/>
        <v>0</v>
      </c>
      <c r="R352" s="253">
        <f t="shared" si="112"/>
        <v>0</v>
      </c>
      <c r="S352" s="251">
        <f>SUMIFS('tuot-rehukirjanpito'!D:D,'tuot-rehukirjanpito'!A:A,A352)</f>
        <v>0</v>
      </c>
      <c r="T352" s="254">
        <f t="shared" si="106"/>
        <v>1098.9000000000001</v>
      </c>
      <c r="U352" s="254">
        <f t="shared" si="107"/>
        <v>1098.8999999999999</v>
      </c>
      <c r="V352" s="252">
        <f t="shared" si="108"/>
        <v>-384615.00000000163</v>
      </c>
      <c r="W352" s="255">
        <f t="shared" si="109"/>
        <v>-350.00000000000148</v>
      </c>
      <c r="X352" s="256" t="str">
        <f t="shared" si="113"/>
        <v/>
      </c>
      <c r="Y352" s="256" t="str">
        <f t="shared" si="114"/>
        <v/>
      </c>
      <c r="Z352" s="224" t="str">
        <f>IF(IFERROR(INDEX('tuot-rehukirjanpito'!I:I,MATCH(A352,'tuot-rehukirjanpito'!G:G,0)),)=0,"",INDEX('tuot-rehukirjanpito'!I:I,MATCH(A352,'tuot-rehukirjanpito'!G:G,0)))</f>
        <v/>
      </c>
      <c r="AA352" s="224">
        <f>SUMIFS('tuot-INFO'!$K$10:$K$115,'tuot-INFO'!$A$10:$A$115,'tuot-PVÄ'!B352)</f>
        <v>65.7</v>
      </c>
      <c r="AB352" s="224">
        <f>SUMIFS('rehu-vesi-INFO'!$R:$R,'rehu-vesi-INFO'!$A:$A,'tuot-PVÄ'!B352)</f>
        <v>1721</v>
      </c>
      <c r="AC352" s="224">
        <f>SUMIFS('rehu-vesi-INFO'!$S:$S,'rehu-vesi-INFO'!$A:$A,'tuot-PVÄ'!B352)</f>
        <v>1827</v>
      </c>
      <c r="AD352" s="224">
        <f t="shared" si="99"/>
        <v>106</v>
      </c>
      <c r="AE352" s="224">
        <f t="shared" si="100"/>
        <v>0</v>
      </c>
      <c r="AF352" s="224">
        <f t="shared" si="101"/>
        <v>172.1</v>
      </c>
      <c r="AG352" s="224">
        <f t="shared" si="102"/>
        <v>10.6</v>
      </c>
      <c r="AH352" s="257">
        <f t="shared" si="104"/>
        <v>0</v>
      </c>
      <c r="AI352" s="258">
        <f t="shared" si="105"/>
        <v>0</v>
      </c>
      <c r="AJ352" s="55">
        <f>SUMIFS('tuot-INFO'!W:W,'tuot-INFO'!$A:$A,'tuot-PVÄ'!B352)</f>
        <v>79.60799999999999</v>
      </c>
      <c r="AK352" s="55">
        <f>SUMIFS('tuot-INFO'!X:X,'tuot-INFO'!$A:$A,'tuot-PVÄ'!B352)</f>
        <v>8.5600000000000023</v>
      </c>
    </row>
    <row r="353" spans="1:37" x14ac:dyDescent="0.25">
      <c r="A353" s="169">
        <f t="shared" si="103"/>
        <v>42839</v>
      </c>
      <c r="B353" s="23">
        <f>ROUNDUP((A353-Yleistiedot!$B$4)/7,0)</f>
        <v>67</v>
      </c>
      <c r="C353" s="16"/>
      <c r="D353" s="25"/>
      <c r="E353" s="25"/>
      <c r="F353" s="25"/>
      <c r="G353" s="25"/>
      <c r="H353" s="25"/>
      <c r="I353" s="65">
        <f t="shared" si="98"/>
        <v>0</v>
      </c>
      <c r="J353" s="26"/>
      <c r="K353" s="25"/>
      <c r="L353" s="16"/>
      <c r="M353" s="16"/>
      <c r="N353" s="25"/>
      <c r="O353" s="30"/>
      <c r="P353" s="252">
        <f t="shared" si="110"/>
        <v>9990</v>
      </c>
      <c r="Q353" s="253">
        <f t="shared" si="111"/>
        <v>0</v>
      </c>
      <c r="R353" s="253">
        <f t="shared" si="112"/>
        <v>0</v>
      </c>
      <c r="S353" s="251">
        <f>SUMIFS('tuot-rehukirjanpito'!D:D,'tuot-rehukirjanpito'!A:A,A353)</f>
        <v>0</v>
      </c>
      <c r="T353" s="254">
        <f t="shared" si="106"/>
        <v>1098.9000000000001</v>
      </c>
      <c r="U353" s="254">
        <f t="shared" si="107"/>
        <v>1098.8999999999999</v>
      </c>
      <c r="V353" s="252">
        <f t="shared" si="108"/>
        <v>-385713.90000000165</v>
      </c>
      <c r="W353" s="255">
        <f t="shared" si="109"/>
        <v>-351.00000000000148</v>
      </c>
      <c r="X353" s="256" t="str">
        <f t="shared" si="113"/>
        <v/>
      </c>
      <c r="Y353" s="256" t="str">
        <f t="shared" si="114"/>
        <v/>
      </c>
      <c r="Z353" s="224" t="str">
        <f>IF(IFERROR(INDEX('tuot-rehukirjanpito'!I:I,MATCH(A353,'tuot-rehukirjanpito'!G:G,0)),)=0,"",INDEX('tuot-rehukirjanpito'!I:I,MATCH(A353,'tuot-rehukirjanpito'!G:G,0)))</f>
        <v/>
      </c>
      <c r="AA353" s="224">
        <f>SUMIFS('tuot-INFO'!$K$10:$K$115,'tuot-INFO'!$A$10:$A$115,'tuot-PVÄ'!B353)</f>
        <v>65.7</v>
      </c>
      <c r="AB353" s="224">
        <f>SUMIFS('rehu-vesi-INFO'!$R:$R,'rehu-vesi-INFO'!$A:$A,'tuot-PVÄ'!B353)</f>
        <v>1721</v>
      </c>
      <c r="AC353" s="224">
        <f>SUMIFS('rehu-vesi-INFO'!$S:$S,'rehu-vesi-INFO'!$A:$A,'tuot-PVÄ'!B353)</f>
        <v>1827</v>
      </c>
      <c r="AD353" s="224">
        <f t="shared" si="99"/>
        <v>106</v>
      </c>
      <c r="AE353" s="224">
        <f t="shared" si="100"/>
        <v>0</v>
      </c>
      <c r="AF353" s="224">
        <f t="shared" si="101"/>
        <v>172.1</v>
      </c>
      <c r="AG353" s="224">
        <f t="shared" si="102"/>
        <v>10.6</v>
      </c>
      <c r="AH353" s="257">
        <f t="shared" si="104"/>
        <v>0</v>
      </c>
      <c r="AI353" s="258">
        <f t="shared" si="105"/>
        <v>0</v>
      </c>
      <c r="AJ353" s="55">
        <f>SUMIFS('tuot-INFO'!W:W,'tuot-INFO'!$A:$A,'tuot-PVÄ'!B353)</f>
        <v>79.60799999999999</v>
      </c>
      <c r="AK353" s="55">
        <f>SUMIFS('tuot-INFO'!X:X,'tuot-INFO'!$A:$A,'tuot-PVÄ'!B353)</f>
        <v>8.5600000000000023</v>
      </c>
    </row>
    <row r="354" spans="1:37" x14ac:dyDescent="0.25">
      <c r="A354" s="169">
        <f t="shared" si="103"/>
        <v>42840</v>
      </c>
      <c r="B354" s="23">
        <f>ROUNDUP((A354-Yleistiedot!$B$4)/7,0)</f>
        <v>68</v>
      </c>
      <c r="C354" s="16"/>
      <c r="D354" s="25"/>
      <c r="E354" s="25"/>
      <c r="F354" s="25"/>
      <c r="G354" s="25"/>
      <c r="H354" s="25"/>
      <c r="I354" s="65">
        <f t="shared" si="98"/>
        <v>0</v>
      </c>
      <c r="J354" s="26"/>
      <c r="K354" s="25"/>
      <c r="L354" s="16"/>
      <c r="M354" s="16"/>
      <c r="N354" s="25"/>
      <c r="O354" s="30"/>
      <c r="P354" s="252">
        <f t="shared" si="110"/>
        <v>9990</v>
      </c>
      <c r="Q354" s="253">
        <f t="shared" si="111"/>
        <v>0</v>
      </c>
      <c r="R354" s="253">
        <f t="shared" si="112"/>
        <v>0</v>
      </c>
      <c r="S354" s="251">
        <f>SUMIFS('tuot-rehukirjanpito'!D:D,'tuot-rehukirjanpito'!A:A,A354)</f>
        <v>0</v>
      </c>
      <c r="T354" s="254">
        <f t="shared" si="106"/>
        <v>1098.9000000000001</v>
      </c>
      <c r="U354" s="254">
        <f t="shared" si="107"/>
        <v>1098.8999999999999</v>
      </c>
      <c r="V354" s="252">
        <f t="shared" si="108"/>
        <v>-386812.80000000168</v>
      </c>
      <c r="W354" s="255">
        <f t="shared" si="109"/>
        <v>-352.00000000000148</v>
      </c>
      <c r="X354" s="256" t="str">
        <f t="shared" si="113"/>
        <v/>
      </c>
      <c r="Y354" s="256" t="str">
        <f t="shared" si="114"/>
        <v/>
      </c>
      <c r="Z354" s="224" t="str">
        <f>IF(IFERROR(INDEX('tuot-rehukirjanpito'!I:I,MATCH(A354,'tuot-rehukirjanpito'!G:G,0)),)=0,"",INDEX('tuot-rehukirjanpito'!I:I,MATCH(A354,'tuot-rehukirjanpito'!G:G,0)))</f>
        <v/>
      </c>
      <c r="AA354" s="224">
        <f>SUMIFS('tuot-INFO'!$K$10:$K$115,'tuot-INFO'!$A$10:$A$115,'tuot-PVÄ'!B354)</f>
        <v>65.7</v>
      </c>
      <c r="AB354" s="224">
        <f>SUMIFS('rehu-vesi-INFO'!$R:$R,'rehu-vesi-INFO'!$A:$A,'tuot-PVÄ'!B354)</f>
        <v>1722</v>
      </c>
      <c r="AC354" s="224">
        <f>SUMIFS('rehu-vesi-INFO'!$S:$S,'rehu-vesi-INFO'!$A:$A,'tuot-PVÄ'!B354)</f>
        <v>1828</v>
      </c>
      <c r="AD354" s="224">
        <f t="shared" si="99"/>
        <v>106</v>
      </c>
      <c r="AE354" s="224">
        <f t="shared" si="100"/>
        <v>0</v>
      </c>
      <c r="AF354" s="224">
        <f t="shared" si="101"/>
        <v>172.2</v>
      </c>
      <c r="AG354" s="224">
        <f t="shared" si="102"/>
        <v>10.6</v>
      </c>
      <c r="AH354" s="257">
        <f t="shared" si="104"/>
        <v>0</v>
      </c>
      <c r="AI354" s="258">
        <f t="shared" si="105"/>
        <v>0</v>
      </c>
      <c r="AJ354" s="55">
        <f>SUMIFS('tuot-INFO'!W:W,'tuot-INFO'!$A:$A,'tuot-PVÄ'!B354)</f>
        <v>79.05</v>
      </c>
      <c r="AK354" s="55">
        <f>SUMIFS('tuot-INFO'!X:X,'tuot-INFO'!$A:$A,'tuot-PVÄ'!B354)</f>
        <v>8.5</v>
      </c>
    </row>
    <row r="355" spans="1:37" x14ac:dyDescent="0.25">
      <c r="A355" s="169">
        <f t="shared" si="103"/>
        <v>42841</v>
      </c>
      <c r="B355" s="23">
        <f>ROUNDUP((A355-Yleistiedot!$B$4)/7,0)</f>
        <v>68</v>
      </c>
      <c r="C355" s="16"/>
      <c r="D355" s="25"/>
      <c r="E355" s="25"/>
      <c r="F355" s="25"/>
      <c r="G355" s="25"/>
      <c r="H355" s="25"/>
      <c r="I355" s="65">
        <f t="shared" si="98"/>
        <v>0</v>
      </c>
      <c r="J355" s="26"/>
      <c r="K355" s="25"/>
      <c r="L355" s="16"/>
      <c r="M355" s="16"/>
      <c r="N355" s="25"/>
      <c r="O355" s="30"/>
      <c r="P355" s="252">
        <f t="shared" si="110"/>
        <v>9990</v>
      </c>
      <c r="Q355" s="253">
        <f t="shared" si="111"/>
        <v>0</v>
      </c>
      <c r="R355" s="253">
        <f t="shared" si="112"/>
        <v>0</v>
      </c>
      <c r="S355" s="251">
        <f>SUMIFS('tuot-rehukirjanpito'!D:D,'tuot-rehukirjanpito'!A:A,A355)</f>
        <v>0</v>
      </c>
      <c r="T355" s="254">
        <f t="shared" si="106"/>
        <v>1098.9000000000001</v>
      </c>
      <c r="U355" s="254">
        <f t="shared" si="107"/>
        <v>1098.8999999999999</v>
      </c>
      <c r="V355" s="252">
        <f t="shared" si="108"/>
        <v>-387911.7000000017</v>
      </c>
      <c r="W355" s="255">
        <f t="shared" si="109"/>
        <v>-353.00000000000153</v>
      </c>
      <c r="X355" s="256" t="str">
        <f t="shared" si="113"/>
        <v/>
      </c>
      <c r="Y355" s="256" t="str">
        <f t="shared" si="114"/>
        <v/>
      </c>
      <c r="Z355" s="224" t="str">
        <f>IF(IFERROR(INDEX('tuot-rehukirjanpito'!I:I,MATCH(A355,'tuot-rehukirjanpito'!G:G,0)),)=0,"",INDEX('tuot-rehukirjanpito'!I:I,MATCH(A355,'tuot-rehukirjanpito'!G:G,0)))</f>
        <v/>
      </c>
      <c r="AA355" s="224">
        <f>SUMIFS('tuot-INFO'!$K$10:$K$115,'tuot-INFO'!$A$10:$A$115,'tuot-PVÄ'!B355)</f>
        <v>65.7</v>
      </c>
      <c r="AB355" s="224">
        <f>SUMIFS('rehu-vesi-INFO'!$R:$R,'rehu-vesi-INFO'!$A:$A,'tuot-PVÄ'!B355)</f>
        <v>1722</v>
      </c>
      <c r="AC355" s="224">
        <f>SUMIFS('rehu-vesi-INFO'!$S:$S,'rehu-vesi-INFO'!$A:$A,'tuot-PVÄ'!B355)</f>
        <v>1828</v>
      </c>
      <c r="AD355" s="224">
        <f t="shared" si="99"/>
        <v>106</v>
      </c>
      <c r="AE355" s="224">
        <f t="shared" si="100"/>
        <v>0</v>
      </c>
      <c r="AF355" s="224">
        <f t="shared" si="101"/>
        <v>172.2</v>
      </c>
      <c r="AG355" s="224">
        <f t="shared" si="102"/>
        <v>10.6</v>
      </c>
      <c r="AH355" s="257">
        <f t="shared" si="104"/>
        <v>0</v>
      </c>
      <c r="AI355" s="258">
        <f t="shared" si="105"/>
        <v>0</v>
      </c>
      <c r="AJ355" s="55">
        <f>SUMIFS('tuot-INFO'!W:W,'tuot-INFO'!$A:$A,'tuot-PVÄ'!B355)</f>
        <v>79.05</v>
      </c>
      <c r="AK355" s="55">
        <f>SUMIFS('tuot-INFO'!X:X,'tuot-INFO'!$A:$A,'tuot-PVÄ'!B355)</f>
        <v>8.5</v>
      </c>
    </row>
    <row r="356" spans="1:37" x14ac:dyDescent="0.25">
      <c r="A356" s="169">
        <f t="shared" si="103"/>
        <v>42842</v>
      </c>
      <c r="B356" s="23">
        <f>ROUNDUP((A356-Yleistiedot!$B$4)/7,0)</f>
        <v>68</v>
      </c>
      <c r="C356" s="16"/>
      <c r="D356" s="25"/>
      <c r="E356" s="25"/>
      <c r="F356" s="25"/>
      <c r="G356" s="25"/>
      <c r="H356" s="25"/>
      <c r="I356" s="65">
        <f t="shared" si="98"/>
        <v>0</v>
      </c>
      <c r="J356" s="26"/>
      <c r="K356" s="25"/>
      <c r="L356" s="16"/>
      <c r="M356" s="16"/>
      <c r="N356" s="25"/>
      <c r="O356" s="30"/>
      <c r="P356" s="252">
        <f t="shared" si="110"/>
        <v>9990</v>
      </c>
      <c r="Q356" s="253">
        <f t="shared" si="111"/>
        <v>0</v>
      </c>
      <c r="R356" s="253">
        <f t="shared" si="112"/>
        <v>0</v>
      </c>
      <c r="S356" s="251">
        <f>SUMIFS('tuot-rehukirjanpito'!D:D,'tuot-rehukirjanpito'!A:A,A356)</f>
        <v>0</v>
      </c>
      <c r="T356" s="254">
        <f t="shared" si="106"/>
        <v>1098.9000000000001</v>
      </c>
      <c r="U356" s="254">
        <f t="shared" si="107"/>
        <v>1098.8999999999999</v>
      </c>
      <c r="V356" s="252">
        <f t="shared" si="108"/>
        <v>-389010.60000000172</v>
      </c>
      <c r="W356" s="255">
        <f t="shared" si="109"/>
        <v>-354.00000000000153</v>
      </c>
      <c r="X356" s="256" t="str">
        <f t="shared" si="113"/>
        <v/>
      </c>
      <c r="Y356" s="256" t="str">
        <f t="shared" si="114"/>
        <v/>
      </c>
      <c r="Z356" s="224" t="str">
        <f>IF(IFERROR(INDEX('tuot-rehukirjanpito'!I:I,MATCH(A356,'tuot-rehukirjanpito'!G:G,0)),)=0,"",INDEX('tuot-rehukirjanpito'!I:I,MATCH(A356,'tuot-rehukirjanpito'!G:G,0)))</f>
        <v/>
      </c>
      <c r="AA356" s="224">
        <f>SUMIFS('tuot-INFO'!$K$10:$K$115,'tuot-INFO'!$A$10:$A$115,'tuot-PVÄ'!B356)</f>
        <v>65.7</v>
      </c>
      <c r="AB356" s="224">
        <f>SUMIFS('rehu-vesi-INFO'!$R:$R,'rehu-vesi-INFO'!$A:$A,'tuot-PVÄ'!B356)</f>
        <v>1722</v>
      </c>
      <c r="AC356" s="224">
        <f>SUMIFS('rehu-vesi-INFO'!$S:$S,'rehu-vesi-INFO'!$A:$A,'tuot-PVÄ'!B356)</f>
        <v>1828</v>
      </c>
      <c r="AD356" s="224">
        <f t="shared" si="99"/>
        <v>106</v>
      </c>
      <c r="AE356" s="224">
        <f t="shared" si="100"/>
        <v>0</v>
      </c>
      <c r="AF356" s="224">
        <f t="shared" si="101"/>
        <v>172.2</v>
      </c>
      <c r="AG356" s="224">
        <f t="shared" si="102"/>
        <v>10.6</v>
      </c>
      <c r="AH356" s="257">
        <f t="shared" si="104"/>
        <v>0</v>
      </c>
      <c r="AI356" s="258">
        <f t="shared" si="105"/>
        <v>0</v>
      </c>
      <c r="AJ356" s="55">
        <f>SUMIFS('tuot-INFO'!W:W,'tuot-INFO'!$A:$A,'tuot-PVÄ'!B356)</f>
        <v>79.05</v>
      </c>
      <c r="AK356" s="55">
        <f>SUMIFS('tuot-INFO'!X:X,'tuot-INFO'!$A:$A,'tuot-PVÄ'!B356)</f>
        <v>8.5</v>
      </c>
    </row>
    <row r="357" spans="1:37" x14ac:dyDescent="0.25">
      <c r="A357" s="169">
        <f t="shared" si="103"/>
        <v>42843</v>
      </c>
      <c r="B357" s="23">
        <f>ROUNDUP((A357-Yleistiedot!$B$4)/7,0)</f>
        <v>68</v>
      </c>
      <c r="C357" s="16"/>
      <c r="D357" s="25"/>
      <c r="E357" s="25"/>
      <c r="F357" s="25"/>
      <c r="G357" s="25"/>
      <c r="H357" s="25"/>
      <c r="I357" s="65">
        <f t="shared" si="98"/>
        <v>0</v>
      </c>
      <c r="J357" s="26"/>
      <c r="K357" s="25"/>
      <c r="L357" s="16"/>
      <c r="M357" s="16"/>
      <c r="N357" s="25"/>
      <c r="O357" s="30"/>
      <c r="P357" s="252">
        <f t="shared" si="110"/>
        <v>9990</v>
      </c>
      <c r="Q357" s="253">
        <f t="shared" si="111"/>
        <v>0</v>
      </c>
      <c r="R357" s="253">
        <f t="shared" si="112"/>
        <v>0</v>
      </c>
      <c r="S357" s="251">
        <f>SUMIFS('tuot-rehukirjanpito'!D:D,'tuot-rehukirjanpito'!A:A,A357)</f>
        <v>0</v>
      </c>
      <c r="T357" s="254">
        <f t="shared" si="106"/>
        <v>1098.9000000000001</v>
      </c>
      <c r="U357" s="254">
        <f t="shared" si="107"/>
        <v>1098.8999999999999</v>
      </c>
      <c r="V357" s="252">
        <f t="shared" si="108"/>
        <v>-390109.50000000175</v>
      </c>
      <c r="W357" s="255">
        <f t="shared" si="109"/>
        <v>-355.00000000000153</v>
      </c>
      <c r="X357" s="256" t="str">
        <f t="shared" si="113"/>
        <v/>
      </c>
      <c r="Y357" s="256" t="str">
        <f t="shared" si="114"/>
        <v/>
      </c>
      <c r="Z357" s="224" t="str">
        <f>IF(IFERROR(INDEX('tuot-rehukirjanpito'!I:I,MATCH(A357,'tuot-rehukirjanpito'!G:G,0)),)=0,"",INDEX('tuot-rehukirjanpito'!I:I,MATCH(A357,'tuot-rehukirjanpito'!G:G,0)))</f>
        <v/>
      </c>
      <c r="AA357" s="224">
        <f>SUMIFS('tuot-INFO'!$K$10:$K$115,'tuot-INFO'!$A$10:$A$115,'tuot-PVÄ'!B357)</f>
        <v>65.7</v>
      </c>
      <c r="AB357" s="224">
        <f>SUMIFS('rehu-vesi-INFO'!$R:$R,'rehu-vesi-INFO'!$A:$A,'tuot-PVÄ'!B357)</f>
        <v>1722</v>
      </c>
      <c r="AC357" s="224">
        <f>SUMIFS('rehu-vesi-INFO'!$S:$S,'rehu-vesi-INFO'!$A:$A,'tuot-PVÄ'!B357)</f>
        <v>1828</v>
      </c>
      <c r="AD357" s="224">
        <f t="shared" si="99"/>
        <v>106</v>
      </c>
      <c r="AE357" s="224">
        <f t="shared" si="100"/>
        <v>0</v>
      </c>
      <c r="AF357" s="224">
        <f t="shared" si="101"/>
        <v>172.2</v>
      </c>
      <c r="AG357" s="224">
        <f t="shared" si="102"/>
        <v>10.6</v>
      </c>
      <c r="AH357" s="257">
        <f t="shared" si="104"/>
        <v>0</v>
      </c>
      <c r="AI357" s="258">
        <f t="shared" si="105"/>
        <v>0</v>
      </c>
      <c r="AJ357" s="55">
        <f>SUMIFS('tuot-INFO'!W:W,'tuot-INFO'!$A:$A,'tuot-PVÄ'!B357)</f>
        <v>79.05</v>
      </c>
      <c r="AK357" s="55">
        <f>SUMIFS('tuot-INFO'!X:X,'tuot-INFO'!$A:$A,'tuot-PVÄ'!B357)</f>
        <v>8.5</v>
      </c>
    </row>
    <row r="358" spans="1:37" x14ac:dyDescent="0.25">
      <c r="A358" s="169">
        <f t="shared" si="103"/>
        <v>42844</v>
      </c>
      <c r="B358" s="23">
        <f>ROUNDUP((A358-Yleistiedot!$B$4)/7,0)</f>
        <v>68</v>
      </c>
      <c r="C358" s="16"/>
      <c r="D358" s="25"/>
      <c r="E358" s="25"/>
      <c r="F358" s="25"/>
      <c r="G358" s="25"/>
      <c r="H358" s="25"/>
      <c r="I358" s="65">
        <f t="shared" si="98"/>
        <v>0</v>
      </c>
      <c r="J358" s="26"/>
      <c r="K358" s="25"/>
      <c r="L358" s="16"/>
      <c r="M358" s="16"/>
      <c r="N358" s="25"/>
      <c r="O358" s="30"/>
      <c r="P358" s="252">
        <f t="shared" si="110"/>
        <v>9990</v>
      </c>
      <c r="Q358" s="253">
        <f t="shared" si="111"/>
        <v>0</v>
      </c>
      <c r="R358" s="253">
        <f t="shared" si="112"/>
        <v>0</v>
      </c>
      <c r="S358" s="251">
        <f>SUMIFS('tuot-rehukirjanpito'!D:D,'tuot-rehukirjanpito'!A:A,A358)</f>
        <v>0</v>
      </c>
      <c r="T358" s="254">
        <f t="shared" si="106"/>
        <v>1098.9000000000001</v>
      </c>
      <c r="U358" s="254">
        <f t="shared" si="107"/>
        <v>1098.8999999999999</v>
      </c>
      <c r="V358" s="252">
        <f t="shared" si="108"/>
        <v>-391208.40000000177</v>
      </c>
      <c r="W358" s="255">
        <f t="shared" si="109"/>
        <v>-356.00000000000159</v>
      </c>
      <c r="X358" s="256" t="str">
        <f t="shared" si="113"/>
        <v/>
      </c>
      <c r="Y358" s="256" t="str">
        <f t="shared" si="114"/>
        <v/>
      </c>
      <c r="Z358" s="224" t="str">
        <f>IF(IFERROR(INDEX('tuot-rehukirjanpito'!I:I,MATCH(A358,'tuot-rehukirjanpito'!G:G,0)),)=0,"",INDEX('tuot-rehukirjanpito'!I:I,MATCH(A358,'tuot-rehukirjanpito'!G:G,0)))</f>
        <v/>
      </c>
      <c r="AA358" s="224">
        <f>SUMIFS('tuot-INFO'!$K$10:$K$115,'tuot-INFO'!$A$10:$A$115,'tuot-PVÄ'!B358)</f>
        <v>65.7</v>
      </c>
      <c r="AB358" s="224">
        <f>SUMIFS('rehu-vesi-INFO'!$R:$R,'rehu-vesi-INFO'!$A:$A,'tuot-PVÄ'!B358)</f>
        <v>1722</v>
      </c>
      <c r="AC358" s="224">
        <f>SUMIFS('rehu-vesi-INFO'!$S:$S,'rehu-vesi-INFO'!$A:$A,'tuot-PVÄ'!B358)</f>
        <v>1828</v>
      </c>
      <c r="AD358" s="224">
        <f t="shared" si="99"/>
        <v>106</v>
      </c>
      <c r="AE358" s="224">
        <f t="shared" si="100"/>
        <v>0</v>
      </c>
      <c r="AF358" s="224">
        <f t="shared" si="101"/>
        <v>172.2</v>
      </c>
      <c r="AG358" s="224">
        <f t="shared" si="102"/>
        <v>10.6</v>
      </c>
      <c r="AH358" s="257">
        <f t="shared" si="104"/>
        <v>0</v>
      </c>
      <c r="AI358" s="258">
        <f t="shared" si="105"/>
        <v>0</v>
      </c>
      <c r="AJ358" s="55">
        <f>SUMIFS('tuot-INFO'!W:W,'tuot-INFO'!$A:$A,'tuot-PVÄ'!B358)</f>
        <v>79.05</v>
      </c>
      <c r="AK358" s="55">
        <f>SUMIFS('tuot-INFO'!X:X,'tuot-INFO'!$A:$A,'tuot-PVÄ'!B358)</f>
        <v>8.5</v>
      </c>
    </row>
    <row r="359" spans="1:37" x14ac:dyDescent="0.25">
      <c r="A359" s="169">
        <f t="shared" si="103"/>
        <v>42845</v>
      </c>
      <c r="B359" s="23">
        <f>ROUNDUP((A359-Yleistiedot!$B$4)/7,0)</f>
        <v>68</v>
      </c>
      <c r="C359" s="16"/>
      <c r="D359" s="25"/>
      <c r="E359" s="25"/>
      <c r="F359" s="25"/>
      <c r="G359" s="25"/>
      <c r="H359" s="25"/>
      <c r="I359" s="65">
        <f t="shared" si="98"/>
        <v>0</v>
      </c>
      <c r="J359" s="26"/>
      <c r="K359" s="25"/>
      <c r="L359" s="16"/>
      <c r="M359" s="16"/>
      <c r="N359" s="25"/>
      <c r="O359" s="30"/>
      <c r="P359" s="252">
        <f t="shared" si="110"/>
        <v>9990</v>
      </c>
      <c r="Q359" s="253">
        <f t="shared" si="111"/>
        <v>0</v>
      </c>
      <c r="R359" s="253">
        <f t="shared" si="112"/>
        <v>0</v>
      </c>
      <c r="S359" s="251">
        <f>SUMIFS('tuot-rehukirjanpito'!D:D,'tuot-rehukirjanpito'!A:A,A359)</f>
        <v>0</v>
      </c>
      <c r="T359" s="254">
        <f t="shared" si="106"/>
        <v>1098.9000000000001</v>
      </c>
      <c r="U359" s="254">
        <f t="shared" si="107"/>
        <v>1098.8999999999999</v>
      </c>
      <c r="V359" s="252">
        <f t="shared" si="108"/>
        <v>-392307.30000000179</v>
      </c>
      <c r="W359" s="255">
        <f t="shared" si="109"/>
        <v>-357.00000000000159</v>
      </c>
      <c r="X359" s="256" t="str">
        <f t="shared" si="113"/>
        <v/>
      </c>
      <c r="Y359" s="256" t="str">
        <f t="shared" si="114"/>
        <v/>
      </c>
      <c r="Z359" s="224" t="str">
        <f>IF(IFERROR(INDEX('tuot-rehukirjanpito'!I:I,MATCH(A359,'tuot-rehukirjanpito'!G:G,0)),)=0,"",INDEX('tuot-rehukirjanpito'!I:I,MATCH(A359,'tuot-rehukirjanpito'!G:G,0)))</f>
        <v/>
      </c>
      <c r="AA359" s="224">
        <f>SUMIFS('tuot-INFO'!$K$10:$K$115,'tuot-INFO'!$A$10:$A$115,'tuot-PVÄ'!B359)</f>
        <v>65.7</v>
      </c>
      <c r="AB359" s="224">
        <f>SUMIFS('rehu-vesi-INFO'!$R:$R,'rehu-vesi-INFO'!$A:$A,'tuot-PVÄ'!B359)</f>
        <v>1722</v>
      </c>
      <c r="AC359" s="224">
        <f>SUMIFS('rehu-vesi-INFO'!$S:$S,'rehu-vesi-INFO'!$A:$A,'tuot-PVÄ'!B359)</f>
        <v>1828</v>
      </c>
      <c r="AD359" s="224">
        <f t="shared" si="99"/>
        <v>106</v>
      </c>
      <c r="AE359" s="224">
        <f t="shared" si="100"/>
        <v>0</v>
      </c>
      <c r="AF359" s="224">
        <f t="shared" si="101"/>
        <v>172.2</v>
      </c>
      <c r="AG359" s="224">
        <f t="shared" si="102"/>
        <v>10.6</v>
      </c>
      <c r="AH359" s="257">
        <f t="shared" si="104"/>
        <v>0</v>
      </c>
      <c r="AI359" s="258">
        <f t="shared" si="105"/>
        <v>0</v>
      </c>
      <c r="AJ359" s="55">
        <f>SUMIFS('tuot-INFO'!W:W,'tuot-INFO'!$A:$A,'tuot-PVÄ'!B359)</f>
        <v>79.05</v>
      </c>
      <c r="AK359" s="55">
        <f>SUMIFS('tuot-INFO'!X:X,'tuot-INFO'!$A:$A,'tuot-PVÄ'!B359)</f>
        <v>8.5</v>
      </c>
    </row>
    <row r="360" spans="1:37" x14ac:dyDescent="0.25">
      <c r="A360" s="169">
        <f t="shared" si="103"/>
        <v>42846</v>
      </c>
      <c r="B360" s="23">
        <f>ROUNDUP((A360-Yleistiedot!$B$4)/7,0)</f>
        <v>68</v>
      </c>
      <c r="C360" s="16"/>
      <c r="D360" s="25"/>
      <c r="E360" s="25"/>
      <c r="F360" s="25"/>
      <c r="G360" s="25"/>
      <c r="H360" s="25"/>
      <c r="I360" s="65">
        <f t="shared" si="98"/>
        <v>0</v>
      </c>
      <c r="J360" s="26"/>
      <c r="K360" s="25"/>
      <c r="L360" s="16"/>
      <c r="M360" s="16"/>
      <c r="N360" s="25"/>
      <c r="O360" s="30"/>
      <c r="P360" s="252">
        <f t="shared" si="110"/>
        <v>9990</v>
      </c>
      <c r="Q360" s="253">
        <f t="shared" si="111"/>
        <v>0</v>
      </c>
      <c r="R360" s="253">
        <f t="shared" si="112"/>
        <v>0</v>
      </c>
      <c r="S360" s="251">
        <f>SUMIFS('tuot-rehukirjanpito'!D:D,'tuot-rehukirjanpito'!A:A,A360)</f>
        <v>0</v>
      </c>
      <c r="T360" s="254">
        <f t="shared" si="106"/>
        <v>1098.9000000000001</v>
      </c>
      <c r="U360" s="254">
        <f t="shared" si="107"/>
        <v>1098.8999999999999</v>
      </c>
      <c r="V360" s="252">
        <f t="shared" si="108"/>
        <v>-393406.20000000182</v>
      </c>
      <c r="W360" s="255">
        <f t="shared" si="109"/>
        <v>-358.00000000000165</v>
      </c>
      <c r="X360" s="256" t="str">
        <f t="shared" si="113"/>
        <v/>
      </c>
      <c r="Y360" s="256" t="str">
        <f t="shared" si="114"/>
        <v/>
      </c>
      <c r="Z360" s="224" t="str">
        <f>IF(IFERROR(INDEX('tuot-rehukirjanpito'!I:I,MATCH(A360,'tuot-rehukirjanpito'!G:G,0)),)=0,"",INDEX('tuot-rehukirjanpito'!I:I,MATCH(A360,'tuot-rehukirjanpito'!G:G,0)))</f>
        <v/>
      </c>
      <c r="AA360" s="224">
        <f>SUMIFS('tuot-INFO'!$K$10:$K$115,'tuot-INFO'!$A$10:$A$115,'tuot-PVÄ'!B360)</f>
        <v>65.7</v>
      </c>
      <c r="AB360" s="224">
        <f>SUMIFS('rehu-vesi-INFO'!$R:$R,'rehu-vesi-INFO'!$A:$A,'tuot-PVÄ'!B360)</f>
        <v>1722</v>
      </c>
      <c r="AC360" s="224">
        <f>SUMIFS('rehu-vesi-INFO'!$S:$S,'rehu-vesi-INFO'!$A:$A,'tuot-PVÄ'!B360)</f>
        <v>1828</v>
      </c>
      <c r="AD360" s="224">
        <f t="shared" si="99"/>
        <v>106</v>
      </c>
      <c r="AE360" s="224">
        <f t="shared" si="100"/>
        <v>0</v>
      </c>
      <c r="AF360" s="224">
        <f t="shared" si="101"/>
        <v>172.2</v>
      </c>
      <c r="AG360" s="224">
        <f t="shared" si="102"/>
        <v>10.6</v>
      </c>
      <c r="AH360" s="257">
        <f t="shared" si="104"/>
        <v>0</v>
      </c>
      <c r="AI360" s="258">
        <f t="shared" si="105"/>
        <v>0</v>
      </c>
      <c r="AJ360" s="55">
        <f>SUMIFS('tuot-INFO'!W:W,'tuot-INFO'!$A:$A,'tuot-PVÄ'!B360)</f>
        <v>79.05</v>
      </c>
      <c r="AK360" s="55">
        <f>SUMIFS('tuot-INFO'!X:X,'tuot-INFO'!$A:$A,'tuot-PVÄ'!B360)</f>
        <v>8.5</v>
      </c>
    </row>
    <row r="361" spans="1:37" x14ac:dyDescent="0.25">
      <c r="A361" s="169">
        <f t="shared" si="103"/>
        <v>42847</v>
      </c>
      <c r="B361" s="23">
        <f>ROUNDUP((A361-Yleistiedot!$B$4)/7,0)</f>
        <v>69</v>
      </c>
      <c r="C361" s="16"/>
      <c r="D361" s="25"/>
      <c r="E361" s="25"/>
      <c r="F361" s="25"/>
      <c r="G361" s="25"/>
      <c r="H361" s="25"/>
      <c r="I361" s="65">
        <f t="shared" si="98"/>
        <v>0</v>
      </c>
      <c r="J361" s="26"/>
      <c r="K361" s="25"/>
      <c r="L361" s="16"/>
      <c r="M361" s="16"/>
      <c r="N361" s="25"/>
      <c r="O361" s="30"/>
      <c r="P361" s="252">
        <f t="shared" si="110"/>
        <v>9990</v>
      </c>
      <c r="Q361" s="253">
        <f t="shared" si="111"/>
        <v>0</v>
      </c>
      <c r="R361" s="253">
        <f t="shared" si="112"/>
        <v>0</v>
      </c>
      <c r="S361" s="251">
        <f>SUMIFS('tuot-rehukirjanpito'!D:D,'tuot-rehukirjanpito'!A:A,A361)</f>
        <v>0</v>
      </c>
      <c r="T361" s="254">
        <f t="shared" si="106"/>
        <v>1098.9000000000001</v>
      </c>
      <c r="U361" s="254">
        <f t="shared" si="107"/>
        <v>1098.8999999999999</v>
      </c>
      <c r="V361" s="252">
        <f t="shared" si="108"/>
        <v>-394505.10000000184</v>
      </c>
      <c r="W361" s="255">
        <f t="shared" si="109"/>
        <v>-359.00000000000165</v>
      </c>
      <c r="X361" s="256" t="str">
        <f t="shared" si="113"/>
        <v/>
      </c>
      <c r="Y361" s="256" t="str">
        <f t="shared" si="114"/>
        <v/>
      </c>
      <c r="Z361" s="224" t="str">
        <f>IF(IFERROR(INDEX('tuot-rehukirjanpito'!I:I,MATCH(A361,'tuot-rehukirjanpito'!G:G,0)),)=0,"",INDEX('tuot-rehukirjanpito'!I:I,MATCH(A361,'tuot-rehukirjanpito'!G:G,0)))</f>
        <v/>
      </c>
      <c r="AA361" s="224">
        <f>SUMIFS('tuot-INFO'!$K$10:$K$115,'tuot-INFO'!$A$10:$A$115,'tuot-PVÄ'!B361)</f>
        <v>65.8</v>
      </c>
      <c r="AB361" s="224">
        <f>SUMIFS('rehu-vesi-INFO'!$R:$R,'rehu-vesi-INFO'!$A:$A,'tuot-PVÄ'!B361)</f>
        <v>1723</v>
      </c>
      <c r="AC361" s="224">
        <f>SUMIFS('rehu-vesi-INFO'!$S:$S,'rehu-vesi-INFO'!$A:$A,'tuot-PVÄ'!B361)</f>
        <v>1830</v>
      </c>
      <c r="AD361" s="224">
        <f t="shared" si="99"/>
        <v>107</v>
      </c>
      <c r="AE361" s="224">
        <f t="shared" si="100"/>
        <v>0</v>
      </c>
      <c r="AF361" s="224">
        <f t="shared" si="101"/>
        <v>172.3</v>
      </c>
      <c r="AG361" s="224">
        <f t="shared" si="102"/>
        <v>10.7</v>
      </c>
      <c r="AH361" s="257">
        <f t="shared" si="104"/>
        <v>0</v>
      </c>
      <c r="AI361" s="258">
        <f t="shared" si="105"/>
        <v>0</v>
      </c>
      <c r="AJ361" s="55">
        <f>SUMIFS('tuot-INFO'!W:W,'tuot-INFO'!$A:$A,'tuot-PVÄ'!B361)</f>
        <v>78.492000000000004</v>
      </c>
      <c r="AK361" s="55">
        <f>SUMIFS('tuot-INFO'!X:X,'tuot-INFO'!$A:$A,'tuot-PVÄ'!B361)</f>
        <v>8.4399999999999977</v>
      </c>
    </row>
    <row r="362" spans="1:37" x14ac:dyDescent="0.25">
      <c r="A362" s="169">
        <f t="shared" si="103"/>
        <v>42848</v>
      </c>
      <c r="B362" s="23">
        <f>ROUNDUP((A362-Yleistiedot!$B$4)/7,0)</f>
        <v>69</v>
      </c>
      <c r="C362" s="16"/>
      <c r="D362" s="25"/>
      <c r="E362" s="25"/>
      <c r="F362" s="25"/>
      <c r="G362" s="25"/>
      <c r="H362" s="25"/>
      <c r="I362" s="65">
        <f t="shared" si="98"/>
        <v>0</v>
      </c>
      <c r="J362" s="26"/>
      <c r="K362" s="25"/>
      <c r="L362" s="16"/>
      <c r="M362" s="16"/>
      <c r="N362" s="25"/>
      <c r="O362" s="30"/>
      <c r="P362" s="252">
        <f t="shared" si="110"/>
        <v>9990</v>
      </c>
      <c r="Q362" s="253">
        <f t="shared" si="111"/>
        <v>0</v>
      </c>
      <c r="R362" s="253">
        <f t="shared" si="112"/>
        <v>0</v>
      </c>
      <c r="S362" s="251">
        <f>SUMIFS('tuot-rehukirjanpito'!D:D,'tuot-rehukirjanpito'!A:A,A362)</f>
        <v>0</v>
      </c>
      <c r="T362" s="254">
        <f t="shared" si="106"/>
        <v>1098.9000000000001</v>
      </c>
      <c r="U362" s="254">
        <f t="shared" si="107"/>
        <v>1098.8999999999999</v>
      </c>
      <c r="V362" s="252">
        <f t="shared" si="108"/>
        <v>-395604.00000000186</v>
      </c>
      <c r="W362" s="255">
        <f t="shared" si="109"/>
        <v>-360.00000000000165</v>
      </c>
      <c r="X362" s="256" t="str">
        <f t="shared" si="113"/>
        <v/>
      </c>
      <c r="Y362" s="256" t="str">
        <f t="shared" si="114"/>
        <v/>
      </c>
      <c r="Z362" s="224" t="str">
        <f>IF(IFERROR(INDEX('tuot-rehukirjanpito'!I:I,MATCH(A362,'tuot-rehukirjanpito'!G:G,0)),)=0,"",INDEX('tuot-rehukirjanpito'!I:I,MATCH(A362,'tuot-rehukirjanpito'!G:G,0)))</f>
        <v/>
      </c>
      <c r="AA362" s="224">
        <f>SUMIFS('tuot-INFO'!$K$10:$K$115,'tuot-INFO'!$A$10:$A$115,'tuot-PVÄ'!B362)</f>
        <v>65.8</v>
      </c>
      <c r="AB362" s="224">
        <f>SUMIFS('rehu-vesi-INFO'!$R:$R,'rehu-vesi-INFO'!$A:$A,'tuot-PVÄ'!B362)</f>
        <v>1723</v>
      </c>
      <c r="AC362" s="224">
        <f>SUMIFS('rehu-vesi-INFO'!$S:$S,'rehu-vesi-INFO'!$A:$A,'tuot-PVÄ'!B362)</f>
        <v>1830</v>
      </c>
      <c r="AD362" s="224">
        <f t="shared" si="99"/>
        <v>107</v>
      </c>
      <c r="AE362" s="224">
        <f t="shared" si="100"/>
        <v>0</v>
      </c>
      <c r="AF362" s="224">
        <f t="shared" si="101"/>
        <v>172.3</v>
      </c>
      <c r="AG362" s="224">
        <f t="shared" si="102"/>
        <v>10.7</v>
      </c>
      <c r="AH362" s="257">
        <f t="shared" si="104"/>
        <v>0</v>
      </c>
      <c r="AI362" s="258">
        <f t="shared" si="105"/>
        <v>0</v>
      </c>
      <c r="AJ362" s="55">
        <f>SUMIFS('tuot-INFO'!W:W,'tuot-INFO'!$A:$A,'tuot-PVÄ'!B362)</f>
        <v>78.492000000000004</v>
      </c>
      <c r="AK362" s="55">
        <f>SUMIFS('tuot-INFO'!X:X,'tuot-INFO'!$A:$A,'tuot-PVÄ'!B362)</f>
        <v>8.4399999999999977</v>
      </c>
    </row>
    <row r="363" spans="1:37" x14ac:dyDescent="0.25">
      <c r="A363" s="169">
        <f t="shared" si="103"/>
        <v>42849</v>
      </c>
      <c r="B363" s="23">
        <f>ROUNDUP((A363-Yleistiedot!$B$4)/7,0)</f>
        <v>69</v>
      </c>
      <c r="C363" s="16"/>
      <c r="D363" s="25"/>
      <c r="E363" s="25"/>
      <c r="F363" s="25"/>
      <c r="G363" s="25"/>
      <c r="H363" s="25"/>
      <c r="I363" s="65">
        <f t="shared" si="98"/>
        <v>0</v>
      </c>
      <c r="J363" s="26"/>
      <c r="K363" s="25"/>
      <c r="L363" s="16"/>
      <c r="M363" s="16"/>
      <c r="N363" s="25"/>
      <c r="O363" s="30"/>
      <c r="P363" s="252">
        <f t="shared" si="110"/>
        <v>9990</v>
      </c>
      <c r="Q363" s="253">
        <f t="shared" si="111"/>
        <v>0</v>
      </c>
      <c r="R363" s="253">
        <f t="shared" si="112"/>
        <v>0</v>
      </c>
      <c r="S363" s="251">
        <f>SUMIFS('tuot-rehukirjanpito'!D:D,'tuot-rehukirjanpito'!A:A,A363)</f>
        <v>0</v>
      </c>
      <c r="T363" s="254">
        <f t="shared" si="106"/>
        <v>1098.9000000000001</v>
      </c>
      <c r="U363" s="254">
        <f t="shared" si="107"/>
        <v>1098.8999999999999</v>
      </c>
      <c r="V363" s="252">
        <f t="shared" si="108"/>
        <v>-396702.90000000189</v>
      </c>
      <c r="W363" s="255">
        <f t="shared" si="109"/>
        <v>-361.00000000000171</v>
      </c>
      <c r="X363" s="256" t="str">
        <f t="shared" si="113"/>
        <v/>
      </c>
      <c r="Y363" s="256" t="str">
        <f t="shared" si="114"/>
        <v/>
      </c>
      <c r="Z363" s="224" t="str">
        <f>IF(IFERROR(INDEX('tuot-rehukirjanpito'!I:I,MATCH(A363,'tuot-rehukirjanpito'!G:G,0)),)=0,"",INDEX('tuot-rehukirjanpito'!I:I,MATCH(A363,'tuot-rehukirjanpito'!G:G,0)))</f>
        <v/>
      </c>
      <c r="AA363" s="224">
        <f>SUMIFS('tuot-INFO'!$K$10:$K$115,'tuot-INFO'!$A$10:$A$115,'tuot-PVÄ'!B363)</f>
        <v>65.8</v>
      </c>
      <c r="AB363" s="224">
        <f>SUMIFS('rehu-vesi-INFO'!$R:$R,'rehu-vesi-INFO'!$A:$A,'tuot-PVÄ'!B363)</f>
        <v>1723</v>
      </c>
      <c r="AC363" s="224">
        <f>SUMIFS('rehu-vesi-INFO'!$S:$S,'rehu-vesi-INFO'!$A:$A,'tuot-PVÄ'!B363)</f>
        <v>1830</v>
      </c>
      <c r="AD363" s="224">
        <f t="shared" si="99"/>
        <v>107</v>
      </c>
      <c r="AE363" s="224">
        <f t="shared" si="100"/>
        <v>0</v>
      </c>
      <c r="AF363" s="224">
        <f t="shared" si="101"/>
        <v>172.3</v>
      </c>
      <c r="AG363" s="224">
        <f t="shared" si="102"/>
        <v>10.7</v>
      </c>
      <c r="AH363" s="257">
        <f t="shared" si="104"/>
        <v>0</v>
      </c>
      <c r="AI363" s="258">
        <f t="shared" si="105"/>
        <v>0</v>
      </c>
      <c r="AJ363" s="55">
        <f>SUMIFS('tuot-INFO'!W:W,'tuot-INFO'!$A:$A,'tuot-PVÄ'!B363)</f>
        <v>78.492000000000004</v>
      </c>
      <c r="AK363" s="55">
        <f>SUMIFS('tuot-INFO'!X:X,'tuot-INFO'!$A:$A,'tuot-PVÄ'!B363)</f>
        <v>8.4399999999999977</v>
      </c>
    </row>
    <row r="364" spans="1:37" x14ac:dyDescent="0.25">
      <c r="A364" s="169">
        <f t="shared" si="103"/>
        <v>42850</v>
      </c>
      <c r="B364" s="23">
        <f>ROUNDUP((A364-Yleistiedot!$B$4)/7,0)</f>
        <v>69</v>
      </c>
      <c r="C364" s="16"/>
      <c r="D364" s="25"/>
      <c r="E364" s="25"/>
      <c r="F364" s="25"/>
      <c r="G364" s="25"/>
      <c r="H364" s="25"/>
      <c r="I364" s="65">
        <f t="shared" si="98"/>
        <v>0</v>
      </c>
      <c r="J364" s="26"/>
      <c r="K364" s="25"/>
      <c r="L364" s="16"/>
      <c r="M364" s="16"/>
      <c r="N364" s="25"/>
      <c r="O364" s="30"/>
      <c r="P364" s="252">
        <f t="shared" si="110"/>
        <v>9990</v>
      </c>
      <c r="Q364" s="253">
        <f t="shared" si="111"/>
        <v>0</v>
      </c>
      <c r="R364" s="253">
        <f t="shared" si="112"/>
        <v>0</v>
      </c>
      <c r="S364" s="251">
        <f>SUMIFS('tuot-rehukirjanpito'!D:D,'tuot-rehukirjanpito'!A:A,A364)</f>
        <v>0</v>
      </c>
      <c r="T364" s="254">
        <f t="shared" si="106"/>
        <v>1098.9000000000001</v>
      </c>
      <c r="U364" s="254">
        <f t="shared" si="107"/>
        <v>1098.8999999999999</v>
      </c>
      <c r="V364" s="252">
        <f t="shared" si="108"/>
        <v>-397801.80000000191</v>
      </c>
      <c r="W364" s="255">
        <f t="shared" si="109"/>
        <v>-362.00000000000171</v>
      </c>
      <c r="X364" s="256" t="str">
        <f t="shared" si="113"/>
        <v/>
      </c>
      <c r="Y364" s="256" t="str">
        <f t="shared" si="114"/>
        <v/>
      </c>
      <c r="Z364" s="224" t="str">
        <f>IF(IFERROR(INDEX('tuot-rehukirjanpito'!I:I,MATCH(A364,'tuot-rehukirjanpito'!G:G,0)),)=0,"",INDEX('tuot-rehukirjanpito'!I:I,MATCH(A364,'tuot-rehukirjanpito'!G:G,0)))</f>
        <v/>
      </c>
      <c r="AA364" s="224">
        <f>SUMIFS('tuot-INFO'!$K$10:$K$115,'tuot-INFO'!$A$10:$A$115,'tuot-PVÄ'!B364)</f>
        <v>65.8</v>
      </c>
      <c r="AB364" s="224">
        <f>SUMIFS('rehu-vesi-INFO'!$R:$R,'rehu-vesi-INFO'!$A:$A,'tuot-PVÄ'!B364)</f>
        <v>1723</v>
      </c>
      <c r="AC364" s="224">
        <f>SUMIFS('rehu-vesi-INFO'!$S:$S,'rehu-vesi-INFO'!$A:$A,'tuot-PVÄ'!B364)</f>
        <v>1830</v>
      </c>
      <c r="AD364" s="224">
        <f t="shared" si="99"/>
        <v>107</v>
      </c>
      <c r="AE364" s="224">
        <f t="shared" si="100"/>
        <v>0</v>
      </c>
      <c r="AF364" s="224">
        <f t="shared" si="101"/>
        <v>172.3</v>
      </c>
      <c r="AG364" s="224">
        <f t="shared" si="102"/>
        <v>10.7</v>
      </c>
      <c r="AH364" s="257">
        <f t="shared" si="104"/>
        <v>0</v>
      </c>
      <c r="AI364" s="258">
        <f t="shared" si="105"/>
        <v>0</v>
      </c>
      <c r="AJ364" s="55">
        <f>SUMIFS('tuot-INFO'!W:W,'tuot-INFO'!$A:$A,'tuot-PVÄ'!B364)</f>
        <v>78.492000000000004</v>
      </c>
      <c r="AK364" s="55">
        <f>SUMIFS('tuot-INFO'!X:X,'tuot-INFO'!$A:$A,'tuot-PVÄ'!B364)</f>
        <v>8.4399999999999977</v>
      </c>
    </row>
    <row r="365" spans="1:37" x14ac:dyDescent="0.25">
      <c r="A365" s="169">
        <f t="shared" si="103"/>
        <v>42851</v>
      </c>
      <c r="B365" s="23">
        <f>ROUNDUP((A365-Yleistiedot!$B$4)/7,0)</f>
        <v>69</v>
      </c>
      <c r="C365" s="16"/>
      <c r="D365" s="25"/>
      <c r="E365" s="25"/>
      <c r="F365" s="25"/>
      <c r="G365" s="25"/>
      <c r="H365" s="25"/>
      <c r="I365" s="65">
        <f t="shared" si="98"/>
        <v>0</v>
      </c>
      <c r="J365" s="26"/>
      <c r="K365" s="25"/>
      <c r="L365" s="16"/>
      <c r="M365" s="16"/>
      <c r="N365" s="25"/>
      <c r="O365" s="30"/>
      <c r="P365" s="252">
        <f t="shared" si="110"/>
        <v>9990</v>
      </c>
      <c r="Q365" s="253">
        <f t="shared" si="111"/>
        <v>0</v>
      </c>
      <c r="R365" s="253">
        <f t="shared" si="112"/>
        <v>0</v>
      </c>
      <c r="S365" s="251">
        <f>SUMIFS('tuot-rehukirjanpito'!D:D,'tuot-rehukirjanpito'!A:A,A365)</f>
        <v>0</v>
      </c>
      <c r="T365" s="254">
        <f t="shared" si="106"/>
        <v>1098.9000000000001</v>
      </c>
      <c r="U365" s="254">
        <f t="shared" si="107"/>
        <v>1098.8999999999999</v>
      </c>
      <c r="V365" s="252">
        <f t="shared" si="108"/>
        <v>-398900.70000000193</v>
      </c>
      <c r="W365" s="255">
        <f t="shared" si="109"/>
        <v>-363.00000000000171</v>
      </c>
      <c r="X365" s="256" t="str">
        <f t="shared" si="113"/>
        <v/>
      </c>
      <c r="Y365" s="256" t="str">
        <f t="shared" si="114"/>
        <v/>
      </c>
      <c r="Z365" s="224" t="str">
        <f>IF(IFERROR(INDEX('tuot-rehukirjanpito'!I:I,MATCH(A365,'tuot-rehukirjanpito'!G:G,0)),)=0,"",INDEX('tuot-rehukirjanpito'!I:I,MATCH(A365,'tuot-rehukirjanpito'!G:G,0)))</f>
        <v/>
      </c>
      <c r="AA365" s="224">
        <f>SUMIFS('tuot-INFO'!$K$10:$K$115,'tuot-INFO'!$A$10:$A$115,'tuot-PVÄ'!B365)</f>
        <v>65.8</v>
      </c>
      <c r="AB365" s="224">
        <f>SUMIFS('rehu-vesi-INFO'!$R:$R,'rehu-vesi-INFO'!$A:$A,'tuot-PVÄ'!B365)</f>
        <v>1723</v>
      </c>
      <c r="AC365" s="224">
        <f>SUMIFS('rehu-vesi-INFO'!$S:$S,'rehu-vesi-INFO'!$A:$A,'tuot-PVÄ'!B365)</f>
        <v>1830</v>
      </c>
      <c r="AD365" s="224">
        <f t="shared" si="99"/>
        <v>107</v>
      </c>
      <c r="AE365" s="224">
        <f t="shared" si="100"/>
        <v>0</v>
      </c>
      <c r="AF365" s="224">
        <f t="shared" si="101"/>
        <v>172.3</v>
      </c>
      <c r="AG365" s="224">
        <f t="shared" si="102"/>
        <v>10.7</v>
      </c>
      <c r="AH365" s="257">
        <f t="shared" si="104"/>
        <v>0</v>
      </c>
      <c r="AI365" s="258">
        <f t="shared" si="105"/>
        <v>0</v>
      </c>
      <c r="AJ365" s="55">
        <f>SUMIFS('tuot-INFO'!W:W,'tuot-INFO'!$A:$A,'tuot-PVÄ'!B365)</f>
        <v>78.492000000000004</v>
      </c>
      <c r="AK365" s="55">
        <f>SUMIFS('tuot-INFO'!X:X,'tuot-INFO'!$A:$A,'tuot-PVÄ'!B365)</f>
        <v>8.4399999999999977</v>
      </c>
    </row>
    <row r="366" spans="1:37" x14ac:dyDescent="0.25">
      <c r="A366" s="169">
        <f t="shared" si="103"/>
        <v>42852</v>
      </c>
      <c r="B366" s="23">
        <f>ROUNDUP((A366-Yleistiedot!$B$4)/7,0)</f>
        <v>69</v>
      </c>
      <c r="C366" s="16"/>
      <c r="D366" s="25"/>
      <c r="E366" s="25"/>
      <c r="F366" s="25"/>
      <c r="G366" s="25"/>
      <c r="H366" s="25"/>
      <c r="I366" s="65">
        <f t="shared" si="98"/>
        <v>0</v>
      </c>
      <c r="J366" s="26"/>
      <c r="K366" s="25"/>
      <c r="L366" s="16"/>
      <c r="M366" s="16"/>
      <c r="N366" s="25"/>
      <c r="O366" s="30"/>
      <c r="P366" s="252">
        <f t="shared" si="110"/>
        <v>9990</v>
      </c>
      <c r="Q366" s="253">
        <f t="shared" si="111"/>
        <v>0</v>
      </c>
      <c r="R366" s="253">
        <f t="shared" si="112"/>
        <v>0</v>
      </c>
      <c r="S366" s="251">
        <f>SUMIFS('tuot-rehukirjanpito'!D:D,'tuot-rehukirjanpito'!A:A,A366)</f>
        <v>0</v>
      </c>
      <c r="T366" s="254">
        <f t="shared" si="106"/>
        <v>1098.9000000000001</v>
      </c>
      <c r="U366" s="254">
        <f t="shared" si="107"/>
        <v>1098.8999999999999</v>
      </c>
      <c r="V366" s="252">
        <f t="shared" si="108"/>
        <v>-399999.60000000196</v>
      </c>
      <c r="W366" s="255">
        <f t="shared" si="109"/>
        <v>-364.00000000000176</v>
      </c>
      <c r="X366" s="256" t="str">
        <f t="shared" si="113"/>
        <v/>
      </c>
      <c r="Y366" s="256" t="str">
        <f t="shared" si="114"/>
        <v/>
      </c>
      <c r="Z366" s="224" t="str">
        <f>IF(IFERROR(INDEX('tuot-rehukirjanpito'!I:I,MATCH(A366,'tuot-rehukirjanpito'!G:G,0)),)=0,"",INDEX('tuot-rehukirjanpito'!I:I,MATCH(A366,'tuot-rehukirjanpito'!G:G,0)))</f>
        <v/>
      </c>
      <c r="AA366" s="224">
        <f>SUMIFS('tuot-INFO'!$K$10:$K$115,'tuot-INFO'!$A$10:$A$115,'tuot-PVÄ'!B366)</f>
        <v>65.8</v>
      </c>
      <c r="AB366" s="224">
        <f>SUMIFS('rehu-vesi-INFO'!$R:$R,'rehu-vesi-INFO'!$A:$A,'tuot-PVÄ'!B366)</f>
        <v>1723</v>
      </c>
      <c r="AC366" s="224">
        <f>SUMIFS('rehu-vesi-INFO'!$S:$S,'rehu-vesi-INFO'!$A:$A,'tuot-PVÄ'!B366)</f>
        <v>1830</v>
      </c>
      <c r="AD366" s="224">
        <f t="shared" si="99"/>
        <v>107</v>
      </c>
      <c r="AE366" s="224">
        <f t="shared" si="100"/>
        <v>0</v>
      </c>
      <c r="AF366" s="224">
        <f t="shared" si="101"/>
        <v>172.3</v>
      </c>
      <c r="AG366" s="224">
        <f t="shared" si="102"/>
        <v>10.7</v>
      </c>
      <c r="AH366" s="257">
        <f t="shared" si="104"/>
        <v>0</v>
      </c>
      <c r="AI366" s="258">
        <f t="shared" si="105"/>
        <v>0</v>
      </c>
      <c r="AJ366" s="55">
        <f>SUMIFS('tuot-INFO'!W:W,'tuot-INFO'!$A:$A,'tuot-PVÄ'!B366)</f>
        <v>78.492000000000004</v>
      </c>
      <c r="AK366" s="55">
        <f>SUMIFS('tuot-INFO'!X:X,'tuot-INFO'!$A:$A,'tuot-PVÄ'!B366)</f>
        <v>8.4399999999999977</v>
      </c>
    </row>
    <row r="367" spans="1:37" x14ac:dyDescent="0.25">
      <c r="A367" s="169">
        <f t="shared" si="103"/>
        <v>42853</v>
      </c>
      <c r="B367" s="23">
        <f>ROUNDUP((A367-Yleistiedot!$B$4)/7,0)</f>
        <v>69</v>
      </c>
      <c r="C367" s="16"/>
      <c r="D367" s="25"/>
      <c r="E367" s="25"/>
      <c r="F367" s="25"/>
      <c r="G367" s="25"/>
      <c r="H367" s="25"/>
      <c r="I367" s="65">
        <f t="shared" si="98"/>
        <v>0</v>
      </c>
      <c r="J367" s="26"/>
      <c r="K367" s="25"/>
      <c r="L367" s="16"/>
      <c r="M367" s="16"/>
      <c r="N367" s="25"/>
      <c r="O367" s="30"/>
      <c r="P367" s="252">
        <f t="shared" si="110"/>
        <v>9990</v>
      </c>
      <c r="Q367" s="253">
        <f t="shared" si="111"/>
        <v>0</v>
      </c>
      <c r="R367" s="253">
        <f t="shared" si="112"/>
        <v>0</v>
      </c>
      <c r="S367" s="251">
        <f>SUMIFS('tuot-rehukirjanpito'!D:D,'tuot-rehukirjanpito'!A:A,A367)</f>
        <v>0</v>
      </c>
      <c r="T367" s="254">
        <f t="shared" si="106"/>
        <v>1098.9000000000001</v>
      </c>
      <c r="U367" s="254">
        <f t="shared" si="107"/>
        <v>1098.8999999999999</v>
      </c>
      <c r="V367" s="252">
        <f t="shared" si="108"/>
        <v>-401098.50000000198</v>
      </c>
      <c r="W367" s="255">
        <f t="shared" si="109"/>
        <v>-365.00000000000176</v>
      </c>
      <c r="X367" s="256" t="str">
        <f t="shared" si="113"/>
        <v/>
      </c>
      <c r="Y367" s="256" t="str">
        <f t="shared" si="114"/>
        <v/>
      </c>
      <c r="Z367" s="224" t="str">
        <f>IF(IFERROR(INDEX('tuot-rehukirjanpito'!I:I,MATCH(A367,'tuot-rehukirjanpito'!G:G,0)),)=0,"",INDEX('tuot-rehukirjanpito'!I:I,MATCH(A367,'tuot-rehukirjanpito'!G:G,0)))</f>
        <v/>
      </c>
      <c r="AA367" s="224">
        <f>SUMIFS('tuot-INFO'!$K$10:$K$115,'tuot-INFO'!$A$10:$A$115,'tuot-PVÄ'!B367)</f>
        <v>65.8</v>
      </c>
      <c r="AB367" s="224">
        <f>SUMIFS('rehu-vesi-INFO'!$R:$R,'rehu-vesi-INFO'!$A:$A,'tuot-PVÄ'!B367)</f>
        <v>1723</v>
      </c>
      <c r="AC367" s="224">
        <f>SUMIFS('rehu-vesi-INFO'!$S:$S,'rehu-vesi-INFO'!$A:$A,'tuot-PVÄ'!B367)</f>
        <v>1830</v>
      </c>
      <c r="AD367" s="224">
        <f t="shared" si="99"/>
        <v>107</v>
      </c>
      <c r="AE367" s="224">
        <f t="shared" si="100"/>
        <v>0</v>
      </c>
      <c r="AF367" s="224">
        <f t="shared" si="101"/>
        <v>172.3</v>
      </c>
      <c r="AG367" s="224">
        <f t="shared" si="102"/>
        <v>10.7</v>
      </c>
      <c r="AH367" s="257">
        <f t="shared" si="104"/>
        <v>0</v>
      </c>
      <c r="AI367" s="258">
        <f t="shared" si="105"/>
        <v>0</v>
      </c>
      <c r="AJ367" s="55">
        <f>SUMIFS('tuot-INFO'!W:W,'tuot-INFO'!$A:$A,'tuot-PVÄ'!B367)</f>
        <v>78.492000000000004</v>
      </c>
      <c r="AK367" s="55">
        <f>SUMIFS('tuot-INFO'!X:X,'tuot-INFO'!$A:$A,'tuot-PVÄ'!B367)</f>
        <v>8.4399999999999977</v>
      </c>
    </row>
    <row r="368" spans="1:37" x14ac:dyDescent="0.25">
      <c r="A368" s="169">
        <f t="shared" si="103"/>
        <v>42854</v>
      </c>
      <c r="B368" s="23">
        <f>ROUNDUP((A368-Yleistiedot!$B$4)/7,0)</f>
        <v>70</v>
      </c>
      <c r="C368" s="16"/>
      <c r="D368" s="25"/>
      <c r="E368" s="25"/>
      <c r="F368" s="25"/>
      <c r="G368" s="25"/>
      <c r="H368" s="25"/>
      <c r="I368" s="65">
        <f t="shared" si="98"/>
        <v>0</v>
      </c>
      <c r="J368" s="26"/>
      <c r="K368" s="25"/>
      <c r="L368" s="16"/>
      <c r="M368" s="16"/>
      <c r="N368" s="25"/>
      <c r="O368" s="30"/>
      <c r="P368" s="252">
        <f t="shared" si="110"/>
        <v>9990</v>
      </c>
      <c r="Q368" s="253">
        <f t="shared" si="111"/>
        <v>0</v>
      </c>
      <c r="R368" s="253">
        <f t="shared" si="112"/>
        <v>0</v>
      </c>
      <c r="S368" s="251">
        <f>SUMIFS('tuot-rehukirjanpito'!D:D,'tuot-rehukirjanpito'!A:A,A368)</f>
        <v>0</v>
      </c>
      <c r="T368" s="254">
        <f t="shared" si="106"/>
        <v>1098.9000000000001</v>
      </c>
      <c r="U368" s="254">
        <f t="shared" si="107"/>
        <v>1098.8999999999999</v>
      </c>
      <c r="V368" s="252">
        <f t="shared" si="108"/>
        <v>-402197.400000002</v>
      </c>
      <c r="W368" s="255">
        <f t="shared" si="109"/>
        <v>-366.00000000000182</v>
      </c>
      <c r="X368" s="256" t="str">
        <f t="shared" si="113"/>
        <v/>
      </c>
      <c r="Y368" s="256" t="str">
        <f t="shared" si="114"/>
        <v/>
      </c>
      <c r="Z368" s="224" t="str">
        <f>IF(IFERROR(INDEX('tuot-rehukirjanpito'!I:I,MATCH(A368,'tuot-rehukirjanpito'!G:G,0)),)=0,"",INDEX('tuot-rehukirjanpito'!I:I,MATCH(A368,'tuot-rehukirjanpito'!G:G,0)))</f>
        <v/>
      </c>
      <c r="AA368" s="224">
        <f>SUMIFS('tuot-INFO'!$K$10:$K$115,'tuot-INFO'!$A$10:$A$115,'tuot-PVÄ'!B368)</f>
        <v>65.8</v>
      </c>
      <c r="AB368" s="224">
        <f>SUMIFS('rehu-vesi-INFO'!$R:$R,'rehu-vesi-INFO'!$A:$A,'tuot-PVÄ'!B368)</f>
        <v>1724</v>
      </c>
      <c r="AC368" s="224">
        <f>SUMIFS('rehu-vesi-INFO'!$S:$S,'rehu-vesi-INFO'!$A:$A,'tuot-PVÄ'!B368)</f>
        <v>1831</v>
      </c>
      <c r="AD368" s="224">
        <f t="shared" si="99"/>
        <v>107</v>
      </c>
      <c r="AE368" s="224">
        <f t="shared" si="100"/>
        <v>0</v>
      </c>
      <c r="AF368" s="224">
        <f t="shared" si="101"/>
        <v>172.4</v>
      </c>
      <c r="AG368" s="224">
        <f t="shared" si="102"/>
        <v>10.7</v>
      </c>
      <c r="AH368" s="257">
        <f t="shared" si="104"/>
        <v>0</v>
      </c>
      <c r="AI368" s="258">
        <f t="shared" si="105"/>
        <v>0</v>
      </c>
      <c r="AJ368" s="55">
        <f>SUMIFS('tuot-INFO'!W:W,'tuot-INFO'!$A:$A,'tuot-PVÄ'!B368)</f>
        <v>77.933999999999997</v>
      </c>
      <c r="AK368" s="55">
        <f>SUMIFS('tuot-INFO'!X:X,'tuot-INFO'!$A:$A,'tuot-PVÄ'!B368)</f>
        <v>8.3799999999999955</v>
      </c>
    </row>
    <row r="369" spans="1:37" x14ac:dyDescent="0.25">
      <c r="A369" s="169">
        <f t="shared" si="103"/>
        <v>42855</v>
      </c>
      <c r="B369" s="23">
        <f>ROUNDUP((A369-Yleistiedot!$B$4)/7,0)</f>
        <v>70</v>
      </c>
      <c r="C369" s="16"/>
      <c r="D369" s="25"/>
      <c r="E369" s="25"/>
      <c r="F369" s="25"/>
      <c r="G369" s="25"/>
      <c r="H369" s="25"/>
      <c r="I369" s="65">
        <f t="shared" si="98"/>
        <v>0</v>
      </c>
      <c r="J369" s="26"/>
      <c r="K369" s="25"/>
      <c r="L369" s="16"/>
      <c r="M369" s="16"/>
      <c r="N369" s="25"/>
      <c r="O369" s="30"/>
      <c r="P369" s="252">
        <f t="shared" si="110"/>
        <v>9990</v>
      </c>
      <c r="Q369" s="253">
        <f t="shared" si="111"/>
        <v>0</v>
      </c>
      <c r="R369" s="253">
        <f t="shared" si="112"/>
        <v>0</v>
      </c>
      <c r="S369" s="251">
        <f>SUMIFS('tuot-rehukirjanpito'!D:D,'tuot-rehukirjanpito'!A:A,A369)</f>
        <v>0</v>
      </c>
      <c r="T369" s="254">
        <f t="shared" si="106"/>
        <v>1098.9000000000001</v>
      </c>
      <c r="U369" s="254">
        <f t="shared" si="107"/>
        <v>1098.8999999999999</v>
      </c>
      <c r="V369" s="252">
        <f t="shared" si="108"/>
        <v>-403296.30000000203</v>
      </c>
      <c r="W369" s="255">
        <f t="shared" si="109"/>
        <v>-367.00000000000182</v>
      </c>
      <c r="X369" s="256" t="str">
        <f t="shared" si="113"/>
        <v/>
      </c>
      <c r="Y369" s="256" t="str">
        <f t="shared" si="114"/>
        <v/>
      </c>
      <c r="Z369" s="224" t="str">
        <f>IF(IFERROR(INDEX('tuot-rehukirjanpito'!I:I,MATCH(A369,'tuot-rehukirjanpito'!G:G,0)),)=0,"",INDEX('tuot-rehukirjanpito'!I:I,MATCH(A369,'tuot-rehukirjanpito'!G:G,0)))</f>
        <v/>
      </c>
      <c r="AA369" s="224">
        <f>SUMIFS('tuot-INFO'!$K$10:$K$115,'tuot-INFO'!$A$10:$A$115,'tuot-PVÄ'!B369)</f>
        <v>65.8</v>
      </c>
      <c r="AB369" s="224">
        <f>SUMIFS('rehu-vesi-INFO'!$R:$R,'rehu-vesi-INFO'!$A:$A,'tuot-PVÄ'!B369)</f>
        <v>1724</v>
      </c>
      <c r="AC369" s="224">
        <f>SUMIFS('rehu-vesi-INFO'!$S:$S,'rehu-vesi-INFO'!$A:$A,'tuot-PVÄ'!B369)</f>
        <v>1831</v>
      </c>
      <c r="AD369" s="224">
        <f t="shared" si="99"/>
        <v>107</v>
      </c>
      <c r="AE369" s="224">
        <f t="shared" si="100"/>
        <v>0</v>
      </c>
      <c r="AF369" s="224">
        <f t="shared" si="101"/>
        <v>172.4</v>
      </c>
      <c r="AG369" s="224">
        <f t="shared" si="102"/>
        <v>10.7</v>
      </c>
      <c r="AH369" s="257">
        <f t="shared" si="104"/>
        <v>0</v>
      </c>
      <c r="AI369" s="258">
        <f t="shared" si="105"/>
        <v>0</v>
      </c>
      <c r="AJ369" s="55">
        <f>SUMIFS('tuot-INFO'!W:W,'tuot-INFO'!$A:$A,'tuot-PVÄ'!B369)</f>
        <v>77.933999999999997</v>
      </c>
      <c r="AK369" s="55">
        <f>SUMIFS('tuot-INFO'!X:X,'tuot-INFO'!$A:$A,'tuot-PVÄ'!B369)</f>
        <v>8.3799999999999955</v>
      </c>
    </row>
    <row r="370" spans="1:37" x14ac:dyDescent="0.25">
      <c r="A370" s="169">
        <f t="shared" si="103"/>
        <v>42856</v>
      </c>
      <c r="B370" s="23">
        <f>ROUNDUP((A370-Yleistiedot!$B$4)/7,0)</f>
        <v>70</v>
      </c>
      <c r="C370" s="16"/>
      <c r="D370" s="25"/>
      <c r="E370" s="25"/>
      <c r="F370" s="25"/>
      <c r="G370" s="25"/>
      <c r="H370" s="25"/>
      <c r="I370" s="65">
        <f t="shared" si="98"/>
        <v>0</v>
      </c>
      <c r="J370" s="26"/>
      <c r="K370" s="25"/>
      <c r="L370" s="16"/>
      <c r="M370" s="16"/>
      <c r="N370" s="25"/>
      <c r="O370" s="30"/>
      <c r="P370" s="252">
        <f t="shared" si="110"/>
        <v>9990</v>
      </c>
      <c r="Q370" s="253">
        <f t="shared" si="111"/>
        <v>0</v>
      </c>
      <c r="R370" s="253">
        <f t="shared" si="112"/>
        <v>0</v>
      </c>
      <c r="S370" s="251">
        <f>SUMIFS('tuot-rehukirjanpito'!D:D,'tuot-rehukirjanpito'!A:A,A370)</f>
        <v>0</v>
      </c>
      <c r="T370" s="254">
        <f t="shared" si="106"/>
        <v>1098.9000000000001</v>
      </c>
      <c r="U370" s="254">
        <f t="shared" si="107"/>
        <v>1098.8999999999999</v>
      </c>
      <c r="V370" s="252">
        <f t="shared" si="108"/>
        <v>-404395.20000000205</v>
      </c>
      <c r="W370" s="255">
        <f t="shared" si="109"/>
        <v>-368.00000000000182</v>
      </c>
      <c r="X370" s="256" t="str">
        <f t="shared" si="113"/>
        <v/>
      </c>
      <c r="Y370" s="256" t="str">
        <f t="shared" si="114"/>
        <v/>
      </c>
      <c r="Z370" s="224" t="str">
        <f>IF(IFERROR(INDEX('tuot-rehukirjanpito'!I:I,MATCH(A370,'tuot-rehukirjanpito'!G:G,0)),)=0,"",INDEX('tuot-rehukirjanpito'!I:I,MATCH(A370,'tuot-rehukirjanpito'!G:G,0)))</f>
        <v/>
      </c>
      <c r="AA370" s="224">
        <f>SUMIFS('tuot-INFO'!$K$10:$K$115,'tuot-INFO'!$A$10:$A$115,'tuot-PVÄ'!B370)</f>
        <v>65.8</v>
      </c>
      <c r="AB370" s="224">
        <f>SUMIFS('rehu-vesi-INFO'!$R:$R,'rehu-vesi-INFO'!$A:$A,'tuot-PVÄ'!B370)</f>
        <v>1724</v>
      </c>
      <c r="AC370" s="224">
        <f>SUMIFS('rehu-vesi-INFO'!$S:$S,'rehu-vesi-INFO'!$A:$A,'tuot-PVÄ'!B370)</f>
        <v>1831</v>
      </c>
      <c r="AD370" s="224">
        <f t="shared" si="99"/>
        <v>107</v>
      </c>
      <c r="AE370" s="224">
        <f t="shared" si="100"/>
        <v>0</v>
      </c>
      <c r="AF370" s="224">
        <f t="shared" si="101"/>
        <v>172.4</v>
      </c>
      <c r="AG370" s="224">
        <f t="shared" si="102"/>
        <v>10.7</v>
      </c>
      <c r="AH370" s="257">
        <f t="shared" si="104"/>
        <v>0</v>
      </c>
      <c r="AI370" s="258">
        <f t="shared" si="105"/>
        <v>0</v>
      </c>
      <c r="AJ370" s="55">
        <f>SUMIFS('tuot-INFO'!W:W,'tuot-INFO'!$A:$A,'tuot-PVÄ'!B370)</f>
        <v>77.933999999999997</v>
      </c>
      <c r="AK370" s="55">
        <f>SUMIFS('tuot-INFO'!X:X,'tuot-INFO'!$A:$A,'tuot-PVÄ'!B370)</f>
        <v>8.3799999999999955</v>
      </c>
    </row>
    <row r="371" spans="1:37" x14ac:dyDescent="0.25">
      <c r="A371" s="169">
        <f t="shared" si="103"/>
        <v>42857</v>
      </c>
      <c r="B371" s="23">
        <f>ROUNDUP((A371-Yleistiedot!$B$4)/7,0)</f>
        <v>70</v>
      </c>
      <c r="C371" s="16"/>
      <c r="D371" s="25"/>
      <c r="E371" s="25"/>
      <c r="F371" s="25"/>
      <c r="G371" s="25"/>
      <c r="H371" s="25"/>
      <c r="I371" s="65">
        <f t="shared" si="98"/>
        <v>0</v>
      </c>
      <c r="J371" s="26"/>
      <c r="K371" s="25"/>
      <c r="L371" s="16"/>
      <c r="M371" s="16"/>
      <c r="N371" s="25"/>
      <c r="O371" s="30"/>
      <c r="P371" s="252">
        <f t="shared" si="110"/>
        <v>9990</v>
      </c>
      <c r="Q371" s="253">
        <f t="shared" si="111"/>
        <v>0</v>
      </c>
      <c r="R371" s="253">
        <f t="shared" si="112"/>
        <v>0</v>
      </c>
      <c r="S371" s="251">
        <f>SUMIFS('tuot-rehukirjanpito'!D:D,'tuot-rehukirjanpito'!A:A,A371)</f>
        <v>0</v>
      </c>
      <c r="T371" s="254">
        <f t="shared" si="106"/>
        <v>1098.9000000000001</v>
      </c>
      <c r="U371" s="254">
        <f t="shared" si="107"/>
        <v>1098.8999999999999</v>
      </c>
      <c r="V371" s="252">
        <f t="shared" si="108"/>
        <v>-405494.10000000207</v>
      </c>
      <c r="W371" s="255">
        <f t="shared" si="109"/>
        <v>-369.00000000000188</v>
      </c>
      <c r="X371" s="256" t="str">
        <f t="shared" si="113"/>
        <v/>
      </c>
      <c r="Y371" s="256" t="str">
        <f t="shared" si="114"/>
        <v/>
      </c>
      <c r="Z371" s="224" t="str">
        <f>IF(IFERROR(INDEX('tuot-rehukirjanpito'!I:I,MATCH(A371,'tuot-rehukirjanpito'!G:G,0)),)=0,"",INDEX('tuot-rehukirjanpito'!I:I,MATCH(A371,'tuot-rehukirjanpito'!G:G,0)))</f>
        <v/>
      </c>
      <c r="AA371" s="224">
        <f>SUMIFS('tuot-INFO'!$K$10:$K$115,'tuot-INFO'!$A$10:$A$115,'tuot-PVÄ'!B371)</f>
        <v>65.8</v>
      </c>
      <c r="AB371" s="224">
        <f>SUMIFS('rehu-vesi-INFO'!$R:$R,'rehu-vesi-INFO'!$A:$A,'tuot-PVÄ'!B371)</f>
        <v>1724</v>
      </c>
      <c r="AC371" s="224">
        <f>SUMIFS('rehu-vesi-INFO'!$S:$S,'rehu-vesi-INFO'!$A:$A,'tuot-PVÄ'!B371)</f>
        <v>1831</v>
      </c>
      <c r="AD371" s="224">
        <f t="shared" si="99"/>
        <v>107</v>
      </c>
      <c r="AE371" s="224">
        <f t="shared" si="100"/>
        <v>0</v>
      </c>
      <c r="AF371" s="224">
        <f t="shared" si="101"/>
        <v>172.4</v>
      </c>
      <c r="AG371" s="224">
        <f t="shared" si="102"/>
        <v>10.7</v>
      </c>
      <c r="AH371" s="257">
        <f t="shared" si="104"/>
        <v>0</v>
      </c>
      <c r="AI371" s="258">
        <f t="shared" si="105"/>
        <v>0</v>
      </c>
      <c r="AJ371" s="55">
        <f>SUMIFS('tuot-INFO'!W:W,'tuot-INFO'!$A:$A,'tuot-PVÄ'!B371)</f>
        <v>77.933999999999997</v>
      </c>
      <c r="AK371" s="55">
        <f>SUMIFS('tuot-INFO'!X:X,'tuot-INFO'!$A:$A,'tuot-PVÄ'!B371)</f>
        <v>8.3799999999999955</v>
      </c>
    </row>
    <row r="372" spans="1:37" x14ac:dyDescent="0.25">
      <c r="A372" s="169">
        <f t="shared" si="103"/>
        <v>42858</v>
      </c>
      <c r="B372" s="23">
        <f>ROUNDUP((A372-Yleistiedot!$B$4)/7,0)</f>
        <v>70</v>
      </c>
      <c r="C372" s="16"/>
      <c r="D372" s="25"/>
      <c r="E372" s="25"/>
      <c r="F372" s="25"/>
      <c r="G372" s="25"/>
      <c r="H372" s="25"/>
      <c r="I372" s="65">
        <f t="shared" si="98"/>
        <v>0</v>
      </c>
      <c r="J372" s="26"/>
      <c r="K372" s="25"/>
      <c r="L372" s="16"/>
      <c r="M372" s="16"/>
      <c r="N372" s="25"/>
      <c r="O372" s="30"/>
      <c r="P372" s="252">
        <f t="shared" si="110"/>
        <v>9990</v>
      </c>
      <c r="Q372" s="253">
        <f t="shared" si="111"/>
        <v>0</v>
      </c>
      <c r="R372" s="253">
        <f t="shared" si="112"/>
        <v>0</v>
      </c>
      <c r="S372" s="251">
        <f>SUMIFS('tuot-rehukirjanpito'!D:D,'tuot-rehukirjanpito'!A:A,A372)</f>
        <v>0</v>
      </c>
      <c r="T372" s="254">
        <f t="shared" si="106"/>
        <v>1098.9000000000001</v>
      </c>
      <c r="U372" s="254">
        <f t="shared" si="107"/>
        <v>1098.8999999999999</v>
      </c>
      <c r="V372" s="252">
        <f t="shared" si="108"/>
        <v>-406593.0000000021</v>
      </c>
      <c r="W372" s="255">
        <f t="shared" si="109"/>
        <v>-370.00000000000188</v>
      </c>
      <c r="X372" s="256" t="str">
        <f t="shared" si="113"/>
        <v/>
      </c>
      <c r="Y372" s="256" t="str">
        <f t="shared" si="114"/>
        <v/>
      </c>
      <c r="Z372" s="224" t="str">
        <f>IF(IFERROR(INDEX('tuot-rehukirjanpito'!I:I,MATCH(A372,'tuot-rehukirjanpito'!G:G,0)),)=0,"",INDEX('tuot-rehukirjanpito'!I:I,MATCH(A372,'tuot-rehukirjanpito'!G:G,0)))</f>
        <v/>
      </c>
      <c r="AA372" s="224">
        <f>SUMIFS('tuot-INFO'!$K$10:$K$115,'tuot-INFO'!$A$10:$A$115,'tuot-PVÄ'!B372)</f>
        <v>65.8</v>
      </c>
      <c r="AB372" s="224">
        <f>SUMIFS('rehu-vesi-INFO'!$R:$R,'rehu-vesi-INFO'!$A:$A,'tuot-PVÄ'!B372)</f>
        <v>1724</v>
      </c>
      <c r="AC372" s="224">
        <f>SUMIFS('rehu-vesi-INFO'!$S:$S,'rehu-vesi-INFO'!$A:$A,'tuot-PVÄ'!B372)</f>
        <v>1831</v>
      </c>
      <c r="AD372" s="224">
        <f t="shared" si="99"/>
        <v>107</v>
      </c>
      <c r="AE372" s="224">
        <f t="shared" si="100"/>
        <v>0</v>
      </c>
      <c r="AF372" s="224">
        <f t="shared" si="101"/>
        <v>172.4</v>
      </c>
      <c r="AG372" s="224">
        <f t="shared" si="102"/>
        <v>10.7</v>
      </c>
      <c r="AH372" s="257">
        <f t="shared" si="104"/>
        <v>0</v>
      </c>
      <c r="AI372" s="258">
        <f t="shared" si="105"/>
        <v>0</v>
      </c>
      <c r="AJ372" s="55">
        <f>SUMIFS('tuot-INFO'!W:W,'tuot-INFO'!$A:$A,'tuot-PVÄ'!B372)</f>
        <v>77.933999999999997</v>
      </c>
      <c r="AK372" s="55">
        <f>SUMIFS('tuot-INFO'!X:X,'tuot-INFO'!$A:$A,'tuot-PVÄ'!B372)</f>
        <v>8.3799999999999955</v>
      </c>
    </row>
    <row r="373" spans="1:37" x14ac:dyDescent="0.25">
      <c r="A373" s="169">
        <f t="shared" si="103"/>
        <v>42859</v>
      </c>
      <c r="B373" s="23">
        <f>ROUNDUP((A373-Yleistiedot!$B$4)/7,0)</f>
        <v>70</v>
      </c>
      <c r="C373" s="16"/>
      <c r="D373" s="25"/>
      <c r="E373" s="25"/>
      <c r="F373" s="25"/>
      <c r="G373" s="25"/>
      <c r="H373" s="25"/>
      <c r="I373" s="65">
        <f t="shared" si="98"/>
        <v>0</v>
      </c>
      <c r="J373" s="26"/>
      <c r="K373" s="25"/>
      <c r="L373" s="16"/>
      <c r="M373" s="16"/>
      <c r="N373" s="25"/>
      <c r="O373" s="30"/>
      <c r="P373" s="252">
        <f t="shared" si="110"/>
        <v>9990</v>
      </c>
      <c r="Q373" s="253">
        <f t="shared" si="111"/>
        <v>0</v>
      </c>
      <c r="R373" s="253">
        <f t="shared" si="112"/>
        <v>0</v>
      </c>
      <c r="S373" s="251">
        <f>SUMIFS('tuot-rehukirjanpito'!D:D,'tuot-rehukirjanpito'!A:A,A373)</f>
        <v>0</v>
      </c>
      <c r="T373" s="254">
        <f t="shared" si="106"/>
        <v>1098.9000000000001</v>
      </c>
      <c r="U373" s="254">
        <f t="shared" si="107"/>
        <v>1098.8999999999999</v>
      </c>
      <c r="V373" s="252">
        <f t="shared" si="108"/>
        <v>-407691.90000000212</v>
      </c>
      <c r="W373" s="255">
        <f t="shared" si="109"/>
        <v>-371.00000000000188</v>
      </c>
      <c r="X373" s="256" t="str">
        <f t="shared" si="113"/>
        <v/>
      </c>
      <c r="Y373" s="256" t="str">
        <f t="shared" si="114"/>
        <v/>
      </c>
      <c r="Z373" s="224" t="str">
        <f>IF(IFERROR(INDEX('tuot-rehukirjanpito'!I:I,MATCH(A373,'tuot-rehukirjanpito'!G:G,0)),)=0,"",INDEX('tuot-rehukirjanpito'!I:I,MATCH(A373,'tuot-rehukirjanpito'!G:G,0)))</f>
        <v/>
      </c>
      <c r="AA373" s="224">
        <f>SUMIFS('tuot-INFO'!$K$10:$K$115,'tuot-INFO'!$A$10:$A$115,'tuot-PVÄ'!B373)</f>
        <v>65.8</v>
      </c>
      <c r="AB373" s="224">
        <f>SUMIFS('rehu-vesi-INFO'!$R:$R,'rehu-vesi-INFO'!$A:$A,'tuot-PVÄ'!B373)</f>
        <v>1724</v>
      </c>
      <c r="AC373" s="224">
        <f>SUMIFS('rehu-vesi-INFO'!$S:$S,'rehu-vesi-INFO'!$A:$A,'tuot-PVÄ'!B373)</f>
        <v>1831</v>
      </c>
      <c r="AD373" s="224">
        <f t="shared" si="99"/>
        <v>107</v>
      </c>
      <c r="AE373" s="224">
        <f t="shared" si="100"/>
        <v>0</v>
      </c>
      <c r="AF373" s="224">
        <f t="shared" si="101"/>
        <v>172.4</v>
      </c>
      <c r="AG373" s="224">
        <f t="shared" si="102"/>
        <v>10.7</v>
      </c>
      <c r="AH373" s="257">
        <f t="shared" si="104"/>
        <v>0</v>
      </c>
      <c r="AI373" s="258">
        <f t="shared" si="105"/>
        <v>0</v>
      </c>
      <c r="AJ373" s="55">
        <f>SUMIFS('tuot-INFO'!W:W,'tuot-INFO'!$A:$A,'tuot-PVÄ'!B373)</f>
        <v>77.933999999999997</v>
      </c>
      <c r="AK373" s="55">
        <f>SUMIFS('tuot-INFO'!X:X,'tuot-INFO'!$A:$A,'tuot-PVÄ'!B373)</f>
        <v>8.3799999999999955</v>
      </c>
    </row>
    <row r="374" spans="1:37" x14ac:dyDescent="0.25">
      <c r="A374" s="169">
        <f t="shared" si="103"/>
        <v>42860</v>
      </c>
      <c r="B374" s="23">
        <f>ROUNDUP((A374-Yleistiedot!$B$4)/7,0)</f>
        <v>70</v>
      </c>
      <c r="C374" s="16"/>
      <c r="D374" s="25"/>
      <c r="E374" s="25"/>
      <c r="F374" s="25"/>
      <c r="G374" s="25"/>
      <c r="H374" s="25"/>
      <c r="I374" s="65">
        <f t="shared" si="98"/>
        <v>0</v>
      </c>
      <c r="J374" s="26"/>
      <c r="K374" s="25"/>
      <c r="L374" s="16"/>
      <c r="M374" s="16"/>
      <c r="N374" s="25"/>
      <c r="O374" s="30"/>
      <c r="P374" s="252">
        <f t="shared" si="110"/>
        <v>9990</v>
      </c>
      <c r="Q374" s="253">
        <f t="shared" si="111"/>
        <v>0</v>
      </c>
      <c r="R374" s="253">
        <f t="shared" si="112"/>
        <v>0</v>
      </c>
      <c r="S374" s="251">
        <f>SUMIFS('tuot-rehukirjanpito'!D:D,'tuot-rehukirjanpito'!A:A,A374)</f>
        <v>0</v>
      </c>
      <c r="T374" s="254">
        <f t="shared" si="106"/>
        <v>1098.9000000000001</v>
      </c>
      <c r="U374" s="254">
        <f t="shared" si="107"/>
        <v>1098.8999999999999</v>
      </c>
      <c r="V374" s="252">
        <f t="shared" si="108"/>
        <v>-408790.80000000214</v>
      </c>
      <c r="W374" s="255">
        <f t="shared" si="109"/>
        <v>-372.00000000000193</v>
      </c>
      <c r="X374" s="256" t="str">
        <f t="shared" si="113"/>
        <v/>
      </c>
      <c r="Y374" s="256" t="str">
        <f t="shared" si="114"/>
        <v/>
      </c>
      <c r="Z374" s="224" t="str">
        <f>IF(IFERROR(INDEX('tuot-rehukirjanpito'!I:I,MATCH(A374,'tuot-rehukirjanpito'!G:G,0)),)=0,"",INDEX('tuot-rehukirjanpito'!I:I,MATCH(A374,'tuot-rehukirjanpito'!G:G,0)))</f>
        <v/>
      </c>
      <c r="AA374" s="224">
        <f>SUMIFS('tuot-INFO'!$K$10:$K$115,'tuot-INFO'!$A$10:$A$115,'tuot-PVÄ'!B374)</f>
        <v>65.8</v>
      </c>
      <c r="AB374" s="224">
        <f>SUMIFS('rehu-vesi-INFO'!$R:$R,'rehu-vesi-INFO'!$A:$A,'tuot-PVÄ'!B374)</f>
        <v>1724</v>
      </c>
      <c r="AC374" s="224">
        <f>SUMIFS('rehu-vesi-INFO'!$S:$S,'rehu-vesi-INFO'!$A:$A,'tuot-PVÄ'!B374)</f>
        <v>1831</v>
      </c>
      <c r="AD374" s="224">
        <f t="shared" si="99"/>
        <v>107</v>
      </c>
      <c r="AE374" s="224">
        <f t="shared" si="100"/>
        <v>0</v>
      </c>
      <c r="AF374" s="224">
        <f t="shared" si="101"/>
        <v>172.4</v>
      </c>
      <c r="AG374" s="224">
        <f t="shared" si="102"/>
        <v>10.7</v>
      </c>
      <c r="AH374" s="257">
        <f t="shared" si="104"/>
        <v>0</v>
      </c>
      <c r="AI374" s="258">
        <f t="shared" si="105"/>
        <v>0</v>
      </c>
      <c r="AJ374" s="55">
        <f>SUMIFS('tuot-INFO'!W:W,'tuot-INFO'!$A:$A,'tuot-PVÄ'!B374)</f>
        <v>77.933999999999997</v>
      </c>
      <c r="AK374" s="55">
        <f>SUMIFS('tuot-INFO'!X:X,'tuot-INFO'!$A:$A,'tuot-PVÄ'!B374)</f>
        <v>8.3799999999999955</v>
      </c>
    </row>
    <row r="375" spans="1:37" x14ac:dyDescent="0.25">
      <c r="A375" s="169">
        <f t="shared" si="103"/>
        <v>42861</v>
      </c>
      <c r="B375" s="23">
        <f>ROUNDUP((A375-Yleistiedot!$B$4)/7,0)</f>
        <v>71</v>
      </c>
      <c r="C375" s="16"/>
      <c r="D375" s="25"/>
      <c r="E375" s="25"/>
      <c r="F375" s="25"/>
      <c r="G375" s="25"/>
      <c r="H375" s="25"/>
      <c r="I375" s="65">
        <f t="shared" si="98"/>
        <v>0</v>
      </c>
      <c r="J375" s="26"/>
      <c r="K375" s="25"/>
      <c r="L375" s="16"/>
      <c r="M375" s="16"/>
      <c r="N375" s="25"/>
      <c r="O375" s="30"/>
      <c r="P375" s="252">
        <f t="shared" si="110"/>
        <v>9990</v>
      </c>
      <c r="Q375" s="253">
        <f t="shared" si="111"/>
        <v>0</v>
      </c>
      <c r="R375" s="253">
        <f t="shared" si="112"/>
        <v>0</v>
      </c>
      <c r="S375" s="251">
        <f>SUMIFS('tuot-rehukirjanpito'!D:D,'tuot-rehukirjanpito'!A:A,A375)</f>
        <v>0</v>
      </c>
      <c r="T375" s="254">
        <f t="shared" si="106"/>
        <v>1098.9000000000001</v>
      </c>
      <c r="U375" s="254">
        <f t="shared" si="107"/>
        <v>1098.8999999999999</v>
      </c>
      <c r="V375" s="252">
        <f t="shared" si="108"/>
        <v>-409889.70000000217</v>
      </c>
      <c r="W375" s="255">
        <f t="shared" si="109"/>
        <v>-373.00000000000193</v>
      </c>
      <c r="X375" s="256" t="str">
        <f t="shared" si="113"/>
        <v/>
      </c>
      <c r="Y375" s="256" t="str">
        <f t="shared" si="114"/>
        <v/>
      </c>
      <c r="Z375" s="224" t="str">
        <f>IF(IFERROR(INDEX('tuot-rehukirjanpito'!I:I,MATCH(A375,'tuot-rehukirjanpito'!G:G,0)),)=0,"",INDEX('tuot-rehukirjanpito'!I:I,MATCH(A375,'tuot-rehukirjanpito'!G:G,0)))</f>
        <v/>
      </c>
      <c r="AA375" s="224">
        <f>SUMIFS('tuot-INFO'!$K$10:$K$115,'tuot-INFO'!$A$10:$A$115,'tuot-PVÄ'!B375)</f>
        <v>65.8</v>
      </c>
      <c r="AB375" s="224">
        <f>SUMIFS('rehu-vesi-INFO'!$R:$R,'rehu-vesi-INFO'!$A:$A,'tuot-PVÄ'!B375)</f>
        <v>1725</v>
      </c>
      <c r="AC375" s="224">
        <f>SUMIFS('rehu-vesi-INFO'!$S:$S,'rehu-vesi-INFO'!$A:$A,'tuot-PVÄ'!B375)</f>
        <v>1832</v>
      </c>
      <c r="AD375" s="224">
        <f t="shared" si="99"/>
        <v>107</v>
      </c>
      <c r="AE375" s="224">
        <f t="shared" si="100"/>
        <v>0</v>
      </c>
      <c r="AF375" s="224">
        <f t="shared" si="101"/>
        <v>172.5</v>
      </c>
      <c r="AG375" s="224">
        <f t="shared" si="102"/>
        <v>10.7</v>
      </c>
      <c r="AH375" s="257">
        <f t="shared" si="104"/>
        <v>0</v>
      </c>
      <c r="AI375" s="258">
        <f t="shared" si="105"/>
        <v>0</v>
      </c>
      <c r="AJ375" s="55">
        <f>SUMIFS('tuot-INFO'!W:W,'tuot-INFO'!$A:$A,'tuot-PVÄ'!B375)</f>
        <v>77.376000000000005</v>
      </c>
      <c r="AK375" s="55">
        <f>SUMIFS('tuot-INFO'!X:X,'tuot-INFO'!$A:$A,'tuot-PVÄ'!B375)</f>
        <v>8.3199999999999932</v>
      </c>
    </row>
    <row r="376" spans="1:37" x14ac:dyDescent="0.25">
      <c r="A376" s="169">
        <f t="shared" si="103"/>
        <v>42862</v>
      </c>
      <c r="B376" s="23">
        <f>ROUNDUP((A376-Yleistiedot!$B$4)/7,0)</f>
        <v>71</v>
      </c>
      <c r="C376" s="16"/>
      <c r="D376" s="25"/>
      <c r="E376" s="25"/>
      <c r="F376" s="25"/>
      <c r="G376" s="25"/>
      <c r="H376" s="25"/>
      <c r="I376" s="65">
        <f t="shared" si="98"/>
        <v>0</v>
      </c>
      <c r="J376" s="26"/>
      <c r="K376" s="25"/>
      <c r="L376" s="16"/>
      <c r="M376" s="16"/>
      <c r="N376" s="25"/>
      <c r="O376" s="30"/>
      <c r="P376" s="252">
        <f t="shared" si="110"/>
        <v>9990</v>
      </c>
      <c r="Q376" s="253">
        <f t="shared" si="111"/>
        <v>0</v>
      </c>
      <c r="R376" s="253">
        <f t="shared" si="112"/>
        <v>0</v>
      </c>
      <c r="S376" s="251">
        <f>SUMIFS('tuot-rehukirjanpito'!D:D,'tuot-rehukirjanpito'!A:A,A376)</f>
        <v>0</v>
      </c>
      <c r="T376" s="254">
        <f t="shared" si="106"/>
        <v>1098.9000000000001</v>
      </c>
      <c r="U376" s="254">
        <f t="shared" si="107"/>
        <v>1098.8999999999999</v>
      </c>
      <c r="V376" s="252">
        <f t="shared" si="108"/>
        <v>-410988.60000000219</v>
      </c>
      <c r="W376" s="255">
        <f t="shared" si="109"/>
        <v>-374.00000000000193</v>
      </c>
      <c r="X376" s="256" t="str">
        <f t="shared" si="113"/>
        <v/>
      </c>
      <c r="Y376" s="256" t="str">
        <f t="shared" si="114"/>
        <v/>
      </c>
      <c r="Z376" s="224" t="str">
        <f>IF(IFERROR(INDEX('tuot-rehukirjanpito'!I:I,MATCH(A376,'tuot-rehukirjanpito'!G:G,0)),)=0,"",INDEX('tuot-rehukirjanpito'!I:I,MATCH(A376,'tuot-rehukirjanpito'!G:G,0)))</f>
        <v/>
      </c>
      <c r="AA376" s="224">
        <f>SUMIFS('tuot-INFO'!$K$10:$K$115,'tuot-INFO'!$A$10:$A$115,'tuot-PVÄ'!B376)</f>
        <v>65.8</v>
      </c>
      <c r="AB376" s="224">
        <f>SUMIFS('rehu-vesi-INFO'!$R:$R,'rehu-vesi-INFO'!$A:$A,'tuot-PVÄ'!B376)</f>
        <v>1725</v>
      </c>
      <c r="AC376" s="224">
        <f>SUMIFS('rehu-vesi-INFO'!$S:$S,'rehu-vesi-INFO'!$A:$A,'tuot-PVÄ'!B376)</f>
        <v>1832</v>
      </c>
      <c r="AD376" s="224">
        <f t="shared" si="99"/>
        <v>107</v>
      </c>
      <c r="AE376" s="224">
        <f t="shared" si="100"/>
        <v>0</v>
      </c>
      <c r="AF376" s="224">
        <f t="shared" si="101"/>
        <v>172.5</v>
      </c>
      <c r="AG376" s="224">
        <f t="shared" si="102"/>
        <v>10.7</v>
      </c>
      <c r="AH376" s="257">
        <f t="shared" si="104"/>
        <v>0</v>
      </c>
      <c r="AI376" s="258">
        <f t="shared" si="105"/>
        <v>0</v>
      </c>
      <c r="AJ376" s="55">
        <f>SUMIFS('tuot-INFO'!W:W,'tuot-INFO'!$A:$A,'tuot-PVÄ'!B376)</f>
        <v>77.376000000000005</v>
      </c>
      <c r="AK376" s="55">
        <f>SUMIFS('tuot-INFO'!X:X,'tuot-INFO'!$A:$A,'tuot-PVÄ'!B376)</f>
        <v>8.3199999999999932</v>
      </c>
    </row>
    <row r="377" spans="1:37" x14ac:dyDescent="0.25">
      <c r="A377" s="169">
        <f t="shared" si="103"/>
        <v>42863</v>
      </c>
      <c r="B377" s="23">
        <f>ROUNDUP((A377-Yleistiedot!$B$4)/7,0)</f>
        <v>71</v>
      </c>
      <c r="C377" s="16"/>
      <c r="D377" s="25"/>
      <c r="E377" s="25"/>
      <c r="F377" s="25"/>
      <c r="G377" s="25"/>
      <c r="H377" s="25"/>
      <c r="I377" s="65">
        <f t="shared" si="98"/>
        <v>0</v>
      </c>
      <c r="J377" s="26"/>
      <c r="K377" s="25"/>
      <c r="L377" s="16"/>
      <c r="M377" s="16"/>
      <c r="N377" s="25"/>
      <c r="O377" s="30"/>
      <c r="P377" s="252">
        <f t="shared" si="110"/>
        <v>9990</v>
      </c>
      <c r="Q377" s="253">
        <f t="shared" si="111"/>
        <v>0</v>
      </c>
      <c r="R377" s="253">
        <f t="shared" si="112"/>
        <v>0</v>
      </c>
      <c r="S377" s="251">
        <f>SUMIFS('tuot-rehukirjanpito'!D:D,'tuot-rehukirjanpito'!A:A,A377)</f>
        <v>0</v>
      </c>
      <c r="T377" s="254">
        <f t="shared" si="106"/>
        <v>1098.9000000000001</v>
      </c>
      <c r="U377" s="254">
        <f t="shared" si="107"/>
        <v>1098.8999999999999</v>
      </c>
      <c r="V377" s="252">
        <f t="shared" si="108"/>
        <v>-412087.50000000221</v>
      </c>
      <c r="W377" s="255">
        <f t="shared" si="109"/>
        <v>-375.00000000000199</v>
      </c>
      <c r="X377" s="256" t="str">
        <f t="shared" si="113"/>
        <v/>
      </c>
      <c r="Y377" s="256" t="str">
        <f t="shared" si="114"/>
        <v/>
      </c>
      <c r="Z377" s="224" t="str">
        <f>IF(IFERROR(INDEX('tuot-rehukirjanpito'!I:I,MATCH(A377,'tuot-rehukirjanpito'!G:G,0)),)=0,"",INDEX('tuot-rehukirjanpito'!I:I,MATCH(A377,'tuot-rehukirjanpito'!G:G,0)))</f>
        <v/>
      </c>
      <c r="AA377" s="224">
        <f>SUMIFS('tuot-INFO'!$K$10:$K$115,'tuot-INFO'!$A$10:$A$115,'tuot-PVÄ'!B377)</f>
        <v>65.8</v>
      </c>
      <c r="AB377" s="224">
        <f>SUMIFS('rehu-vesi-INFO'!$R:$R,'rehu-vesi-INFO'!$A:$A,'tuot-PVÄ'!B377)</f>
        <v>1725</v>
      </c>
      <c r="AC377" s="224">
        <f>SUMIFS('rehu-vesi-INFO'!$S:$S,'rehu-vesi-INFO'!$A:$A,'tuot-PVÄ'!B377)</f>
        <v>1832</v>
      </c>
      <c r="AD377" s="224">
        <f t="shared" si="99"/>
        <v>107</v>
      </c>
      <c r="AE377" s="224">
        <f t="shared" si="100"/>
        <v>0</v>
      </c>
      <c r="AF377" s="224">
        <f t="shared" si="101"/>
        <v>172.5</v>
      </c>
      <c r="AG377" s="224">
        <f t="shared" si="102"/>
        <v>10.7</v>
      </c>
      <c r="AH377" s="257">
        <f t="shared" si="104"/>
        <v>0</v>
      </c>
      <c r="AI377" s="258">
        <f t="shared" si="105"/>
        <v>0</v>
      </c>
      <c r="AJ377" s="55">
        <f>SUMIFS('tuot-INFO'!W:W,'tuot-INFO'!$A:$A,'tuot-PVÄ'!B377)</f>
        <v>77.376000000000005</v>
      </c>
      <c r="AK377" s="55">
        <f>SUMIFS('tuot-INFO'!X:X,'tuot-INFO'!$A:$A,'tuot-PVÄ'!B377)</f>
        <v>8.3199999999999932</v>
      </c>
    </row>
    <row r="378" spans="1:37" x14ac:dyDescent="0.25">
      <c r="A378" s="169">
        <f t="shared" si="103"/>
        <v>42864</v>
      </c>
      <c r="B378" s="23">
        <f>ROUNDUP((A378-Yleistiedot!$B$4)/7,0)</f>
        <v>71</v>
      </c>
      <c r="C378" s="16"/>
      <c r="D378" s="25"/>
      <c r="E378" s="25"/>
      <c r="F378" s="25"/>
      <c r="G378" s="25"/>
      <c r="H378" s="25"/>
      <c r="I378" s="65">
        <f t="shared" si="98"/>
        <v>0</v>
      </c>
      <c r="J378" s="26"/>
      <c r="K378" s="25"/>
      <c r="L378" s="16"/>
      <c r="M378" s="16"/>
      <c r="N378" s="25"/>
      <c r="O378" s="30"/>
      <c r="P378" s="252">
        <f t="shared" si="110"/>
        <v>9990</v>
      </c>
      <c r="Q378" s="253">
        <f t="shared" si="111"/>
        <v>0</v>
      </c>
      <c r="R378" s="253">
        <f t="shared" si="112"/>
        <v>0</v>
      </c>
      <c r="S378" s="251">
        <f>SUMIFS('tuot-rehukirjanpito'!D:D,'tuot-rehukirjanpito'!A:A,A378)</f>
        <v>0</v>
      </c>
      <c r="T378" s="254">
        <f t="shared" si="106"/>
        <v>1098.9000000000001</v>
      </c>
      <c r="U378" s="254">
        <f t="shared" si="107"/>
        <v>1098.8999999999999</v>
      </c>
      <c r="V378" s="252">
        <f t="shared" si="108"/>
        <v>-413186.40000000224</v>
      </c>
      <c r="W378" s="255">
        <f t="shared" si="109"/>
        <v>-376.00000000000199</v>
      </c>
      <c r="X378" s="256" t="str">
        <f t="shared" si="113"/>
        <v/>
      </c>
      <c r="Y378" s="256" t="str">
        <f t="shared" si="114"/>
        <v/>
      </c>
      <c r="Z378" s="224" t="str">
        <f>IF(IFERROR(INDEX('tuot-rehukirjanpito'!I:I,MATCH(A378,'tuot-rehukirjanpito'!G:G,0)),)=0,"",INDEX('tuot-rehukirjanpito'!I:I,MATCH(A378,'tuot-rehukirjanpito'!G:G,0)))</f>
        <v/>
      </c>
      <c r="AA378" s="224">
        <f>SUMIFS('tuot-INFO'!$K$10:$K$115,'tuot-INFO'!$A$10:$A$115,'tuot-PVÄ'!B378)</f>
        <v>65.8</v>
      </c>
      <c r="AB378" s="224">
        <f>SUMIFS('rehu-vesi-INFO'!$R:$R,'rehu-vesi-INFO'!$A:$A,'tuot-PVÄ'!B378)</f>
        <v>1725</v>
      </c>
      <c r="AC378" s="224">
        <f>SUMIFS('rehu-vesi-INFO'!$S:$S,'rehu-vesi-INFO'!$A:$A,'tuot-PVÄ'!B378)</f>
        <v>1832</v>
      </c>
      <c r="AD378" s="224">
        <f t="shared" si="99"/>
        <v>107</v>
      </c>
      <c r="AE378" s="224">
        <f t="shared" si="100"/>
        <v>0</v>
      </c>
      <c r="AF378" s="224">
        <f t="shared" si="101"/>
        <v>172.5</v>
      </c>
      <c r="AG378" s="224">
        <f t="shared" si="102"/>
        <v>10.7</v>
      </c>
      <c r="AH378" s="257">
        <f t="shared" si="104"/>
        <v>0</v>
      </c>
      <c r="AI378" s="258">
        <f t="shared" si="105"/>
        <v>0</v>
      </c>
      <c r="AJ378" s="55">
        <f>SUMIFS('tuot-INFO'!W:W,'tuot-INFO'!$A:$A,'tuot-PVÄ'!B378)</f>
        <v>77.376000000000005</v>
      </c>
      <c r="AK378" s="55">
        <f>SUMIFS('tuot-INFO'!X:X,'tuot-INFO'!$A:$A,'tuot-PVÄ'!B378)</f>
        <v>8.3199999999999932</v>
      </c>
    </row>
    <row r="379" spans="1:37" x14ac:dyDescent="0.25">
      <c r="A379" s="169">
        <f t="shared" si="103"/>
        <v>42865</v>
      </c>
      <c r="B379" s="23">
        <f>ROUNDUP((A379-Yleistiedot!$B$4)/7,0)</f>
        <v>71</v>
      </c>
      <c r="C379" s="16"/>
      <c r="D379" s="25"/>
      <c r="E379" s="25"/>
      <c r="F379" s="25"/>
      <c r="G379" s="25"/>
      <c r="H379" s="25"/>
      <c r="I379" s="65">
        <f t="shared" si="98"/>
        <v>0</v>
      </c>
      <c r="J379" s="26"/>
      <c r="K379" s="25"/>
      <c r="L379" s="16"/>
      <c r="M379" s="16"/>
      <c r="N379" s="25"/>
      <c r="O379" s="30"/>
      <c r="P379" s="252">
        <f t="shared" si="110"/>
        <v>9990</v>
      </c>
      <c r="Q379" s="253">
        <f t="shared" si="111"/>
        <v>0</v>
      </c>
      <c r="R379" s="253">
        <f t="shared" si="112"/>
        <v>0</v>
      </c>
      <c r="S379" s="251">
        <f>SUMIFS('tuot-rehukirjanpito'!D:D,'tuot-rehukirjanpito'!A:A,A379)</f>
        <v>0</v>
      </c>
      <c r="T379" s="254">
        <f t="shared" si="106"/>
        <v>1098.9000000000001</v>
      </c>
      <c r="U379" s="254">
        <f t="shared" si="107"/>
        <v>1098.8999999999999</v>
      </c>
      <c r="V379" s="252">
        <f t="shared" si="108"/>
        <v>-414285.30000000226</v>
      </c>
      <c r="W379" s="255">
        <f t="shared" si="109"/>
        <v>-377.00000000000205</v>
      </c>
      <c r="X379" s="256" t="str">
        <f t="shared" si="113"/>
        <v/>
      </c>
      <c r="Y379" s="256" t="str">
        <f t="shared" si="114"/>
        <v/>
      </c>
      <c r="Z379" s="224" t="str">
        <f>IF(IFERROR(INDEX('tuot-rehukirjanpito'!I:I,MATCH(A379,'tuot-rehukirjanpito'!G:G,0)),)=0,"",INDEX('tuot-rehukirjanpito'!I:I,MATCH(A379,'tuot-rehukirjanpito'!G:G,0)))</f>
        <v/>
      </c>
      <c r="AA379" s="224">
        <f>SUMIFS('tuot-INFO'!$K$10:$K$115,'tuot-INFO'!$A$10:$A$115,'tuot-PVÄ'!B379)</f>
        <v>65.8</v>
      </c>
      <c r="AB379" s="224">
        <f>SUMIFS('rehu-vesi-INFO'!$R:$R,'rehu-vesi-INFO'!$A:$A,'tuot-PVÄ'!B379)</f>
        <v>1725</v>
      </c>
      <c r="AC379" s="224">
        <f>SUMIFS('rehu-vesi-INFO'!$S:$S,'rehu-vesi-INFO'!$A:$A,'tuot-PVÄ'!B379)</f>
        <v>1832</v>
      </c>
      <c r="AD379" s="224">
        <f t="shared" si="99"/>
        <v>107</v>
      </c>
      <c r="AE379" s="224">
        <f t="shared" si="100"/>
        <v>0</v>
      </c>
      <c r="AF379" s="224">
        <f t="shared" si="101"/>
        <v>172.5</v>
      </c>
      <c r="AG379" s="224">
        <f t="shared" si="102"/>
        <v>10.7</v>
      </c>
      <c r="AH379" s="257">
        <f t="shared" si="104"/>
        <v>0</v>
      </c>
      <c r="AI379" s="258">
        <f t="shared" si="105"/>
        <v>0</v>
      </c>
      <c r="AJ379" s="55">
        <f>SUMIFS('tuot-INFO'!W:W,'tuot-INFO'!$A:$A,'tuot-PVÄ'!B379)</f>
        <v>77.376000000000005</v>
      </c>
      <c r="AK379" s="55">
        <f>SUMIFS('tuot-INFO'!X:X,'tuot-INFO'!$A:$A,'tuot-PVÄ'!B379)</f>
        <v>8.3199999999999932</v>
      </c>
    </row>
    <row r="380" spans="1:37" x14ac:dyDescent="0.25">
      <c r="A380" s="169">
        <f t="shared" si="103"/>
        <v>42866</v>
      </c>
      <c r="B380" s="23">
        <f>ROUNDUP((A380-Yleistiedot!$B$4)/7,0)</f>
        <v>71</v>
      </c>
      <c r="C380" s="16"/>
      <c r="D380" s="25"/>
      <c r="E380" s="25"/>
      <c r="F380" s="25"/>
      <c r="G380" s="25"/>
      <c r="H380" s="25"/>
      <c r="I380" s="65">
        <f t="shared" si="98"/>
        <v>0</v>
      </c>
      <c r="J380" s="26"/>
      <c r="K380" s="25"/>
      <c r="L380" s="16"/>
      <c r="M380" s="16"/>
      <c r="N380" s="25"/>
      <c r="O380" s="30"/>
      <c r="P380" s="252">
        <f t="shared" si="110"/>
        <v>9990</v>
      </c>
      <c r="Q380" s="253">
        <f t="shared" si="111"/>
        <v>0</v>
      </c>
      <c r="R380" s="253">
        <f t="shared" si="112"/>
        <v>0</v>
      </c>
      <c r="S380" s="251">
        <f>SUMIFS('tuot-rehukirjanpito'!D:D,'tuot-rehukirjanpito'!A:A,A380)</f>
        <v>0</v>
      </c>
      <c r="T380" s="254">
        <f t="shared" si="106"/>
        <v>1098.9000000000001</v>
      </c>
      <c r="U380" s="254">
        <f t="shared" si="107"/>
        <v>1098.8999999999999</v>
      </c>
      <c r="V380" s="252">
        <f t="shared" si="108"/>
        <v>-415384.20000000228</v>
      </c>
      <c r="W380" s="255">
        <f t="shared" si="109"/>
        <v>-378.00000000000205</v>
      </c>
      <c r="X380" s="256" t="str">
        <f t="shared" si="113"/>
        <v/>
      </c>
      <c r="Y380" s="256" t="str">
        <f t="shared" si="114"/>
        <v/>
      </c>
      <c r="Z380" s="224" t="str">
        <f>IF(IFERROR(INDEX('tuot-rehukirjanpito'!I:I,MATCH(A380,'tuot-rehukirjanpito'!G:G,0)),)=0,"",INDEX('tuot-rehukirjanpito'!I:I,MATCH(A380,'tuot-rehukirjanpito'!G:G,0)))</f>
        <v/>
      </c>
      <c r="AA380" s="224">
        <f>SUMIFS('tuot-INFO'!$K$10:$K$115,'tuot-INFO'!$A$10:$A$115,'tuot-PVÄ'!B380)</f>
        <v>65.8</v>
      </c>
      <c r="AB380" s="224">
        <f>SUMIFS('rehu-vesi-INFO'!$R:$R,'rehu-vesi-INFO'!$A:$A,'tuot-PVÄ'!B380)</f>
        <v>1725</v>
      </c>
      <c r="AC380" s="224">
        <f>SUMIFS('rehu-vesi-INFO'!$S:$S,'rehu-vesi-INFO'!$A:$A,'tuot-PVÄ'!B380)</f>
        <v>1832</v>
      </c>
      <c r="AD380" s="224">
        <f t="shared" si="99"/>
        <v>107</v>
      </c>
      <c r="AE380" s="224">
        <f t="shared" si="100"/>
        <v>0</v>
      </c>
      <c r="AF380" s="224">
        <f t="shared" si="101"/>
        <v>172.5</v>
      </c>
      <c r="AG380" s="224">
        <f t="shared" si="102"/>
        <v>10.7</v>
      </c>
      <c r="AH380" s="257">
        <f t="shared" si="104"/>
        <v>0</v>
      </c>
      <c r="AI380" s="258">
        <f t="shared" si="105"/>
        <v>0</v>
      </c>
      <c r="AJ380" s="55">
        <f>SUMIFS('tuot-INFO'!W:W,'tuot-INFO'!$A:$A,'tuot-PVÄ'!B380)</f>
        <v>77.376000000000005</v>
      </c>
      <c r="AK380" s="55">
        <f>SUMIFS('tuot-INFO'!X:X,'tuot-INFO'!$A:$A,'tuot-PVÄ'!B380)</f>
        <v>8.3199999999999932</v>
      </c>
    </row>
    <row r="381" spans="1:37" x14ac:dyDescent="0.25">
      <c r="A381" s="169">
        <f t="shared" si="103"/>
        <v>42867</v>
      </c>
      <c r="B381" s="23">
        <f>ROUNDUP((A381-Yleistiedot!$B$4)/7,0)</f>
        <v>71</v>
      </c>
      <c r="C381" s="16"/>
      <c r="D381" s="25"/>
      <c r="E381" s="25"/>
      <c r="F381" s="25"/>
      <c r="G381" s="25"/>
      <c r="H381" s="25"/>
      <c r="I381" s="65">
        <f t="shared" si="98"/>
        <v>0</v>
      </c>
      <c r="J381" s="26"/>
      <c r="K381" s="25"/>
      <c r="L381" s="16"/>
      <c r="M381" s="16"/>
      <c r="N381" s="25"/>
      <c r="O381" s="30"/>
      <c r="P381" s="252">
        <f t="shared" si="110"/>
        <v>9990</v>
      </c>
      <c r="Q381" s="253">
        <f t="shared" si="111"/>
        <v>0</v>
      </c>
      <c r="R381" s="253">
        <f t="shared" si="112"/>
        <v>0</v>
      </c>
      <c r="S381" s="251">
        <f>SUMIFS('tuot-rehukirjanpito'!D:D,'tuot-rehukirjanpito'!A:A,A381)</f>
        <v>0</v>
      </c>
      <c r="T381" s="254">
        <f t="shared" si="106"/>
        <v>1098.9000000000001</v>
      </c>
      <c r="U381" s="254">
        <f t="shared" si="107"/>
        <v>1098.8999999999999</v>
      </c>
      <c r="V381" s="252">
        <f t="shared" si="108"/>
        <v>-416483.10000000231</v>
      </c>
      <c r="W381" s="255">
        <f t="shared" si="109"/>
        <v>-379.00000000000205</v>
      </c>
      <c r="X381" s="256" t="str">
        <f t="shared" si="113"/>
        <v/>
      </c>
      <c r="Y381" s="256" t="str">
        <f t="shared" si="114"/>
        <v/>
      </c>
      <c r="Z381" s="224" t="str">
        <f>IF(IFERROR(INDEX('tuot-rehukirjanpito'!I:I,MATCH(A381,'tuot-rehukirjanpito'!G:G,0)),)=0,"",INDEX('tuot-rehukirjanpito'!I:I,MATCH(A381,'tuot-rehukirjanpito'!G:G,0)))</f>
        <v/>
      </c>
      <c r="AA381" s="224">
        <f>SUMIFS('tuot-INFO'!$K$10:$K$115,'tuot-INFO'!$A$10:$A$115,'tuot-PVÄ'!B381)</f>
        <v>65.8</v>
      </c>
      <c r="AB381" s="224">
        <f>SUMIFS('rehu-vesi-INFO'!$R:$R,'rehu-vesi-INFO'!$A:$A,'tuot-PVÄ'!B381)</f>
        <v>1725</v>
      </c>
      <c r="AC381" s="224">
        <f>SUMIFS('rehu-vesi-INFO'!$S:$S,'rehu-vesi-INFO'!$A:$A,'tuot-PVÄ'!B381)</f>
        <v>1832</v>
      </c>
      <c r="AD381" s="224">
        <f t="shared" si="99"/>
        <v>107</v>
      </c>
      <c r="AE381" s="224">
        <f t="shared" si="100"/>
        <v>0</v>
      </c>
      <c r="AF381" s="224">
        <f t="shared" si="101"/>
        <v>172.5</v>
      </c>
      <c r="AG381" s="224">
        <f t="shared" si="102"/>
        <v>10.7</v>
      </c>
      <c r="AH381" s="257">
        <f t="shared" si="104"/>
        <v>0</v>
      </c>
      <c r="AI381" s="258">
        <f t="shared" si="105"/>
        <v>0</v>
      </c>
      <c r="AJ381" s="55">
        <f>SUMIFS('tuot-INFO'!W:W,'tuot-INFO'!$A:$A,'tuot-PVÄ'!B381)</f>
        <v>77.376000000000005</v>
      </c>
      <c r="AK381" s="55">
        <f>SUMIFS('tuot-INFO'!X:X,'tuot-INFO'!$A:$A,'tuot-PVÄ'!B381)</f>
        <v>8.3199999999999932</v>
      </c>
    </row>
    <row r="382" spans="1:37" x14ac:dyDescent="0.25">
      <c r="A382" s="169">
        <f t="shared" si="103"/>
        <v>42868</v>
      </c>
      <c r="B382" s="23">
        <f>ROUNDUP((A382-Yleistiedot!$B$4)/7,0)</f>
        <v>72</v>
      </c>
      <c r="C382" s="16"/>
      <c r="D382" s="25"/>
      <c r="E382" s="25"/>
      <c r="F382" s="25"/>
      <c r="G382" s="25"/>
      <c r="H382" s="25"/>
      <c r="I382" s="65">
        <f t="shared" si="98"/>
        <v>0</v>
      </c>
      <c r="J382" s="26"/>
      <c r="K382" s="25"/>
      <c r="L382" s="16"/>
      <c r="M382" s="16"/>
      <c r="N382" s="25"/>
      <c r="O382" s="30"/>
      <c r="P382" s="252">
        <f t="shared" si="110"/>
        <v>9990</v>
      </c>
      <c r="Q382" s="253">
        <f t="shared" si="111"/>
        <v>0</v>
      </c>
      <c r="R382" s="253">
        <f t="shared" si="112"/>
        <v>0</v>
      </c>
      <c r="S382" s="251">
        <f>SUMIFS('tuot-rehukirjanpito'!D:D,'tuot-rehukirjanpito'!A:A,A382)</f>
        <v>0</v>
      </c>
      <c r="T382" s="254">
        <f t="shared" si="106"/>
        <v>1098.9000000000001</v>
      </c>
      <c r="U382" s="254">
        <f t="shared" si="107"/>
        <v>1098.8999999999999</v>
      </c>
      <c r="V382" s="252">
        <f t="shared" si="108"/>
        <v>-417582.00000000233</v>
      </c>
      <c r="W382" s="255">
        <f t="shared" si="109"/>
        <v>-380.0000000000021</v>
      </c>
      <c r="X382" s="256" t="str">
        <f t="shared" si="113"/>
        <v/>
      </c>
      <c r="Y382" s="256" t="str">
        <f t="shared" si="114"/>
        <v/>
      </c>
      <c r="Z382" s="224" t="str">
        <f>IF(IFERROR(INDEX('tuot-rehukirjanpito'!I:I,MATCH(A382,'tuot-rehukirjanpito'!G:G,0)),)=0,"",INDEX('tuot-rehukirjanpito'!I:I,MATCH(A382,'tuot-rehukirjanpito'!G:G,0)))</f>
        <v/>
      </c>
      <c r="AA382" s="224">
        <f>SUMIFS('tuot-INFO'!$K$10:$K$115,'tuot-INFO'!$A$10:$A$115,'tuot-PVÄ'!B382)</f>
        <v>65.8</v>
      </c>
      <c r="AB382" s="224">
        <f>SUMIFS('rehu-vesi-INFO'!$R:$R,'rehu-vesi-INFO'!$A:$A,'tuot-PVÄ'!B382)</f>
        <v>1727</v>
      </c>
      <c r="AC382" s="224">
        <f>SUMIFS('rehu-vesi-INFO'!$S:$S,'rehu-vesi-INFO'!$A:$A,'tuot-PVÄ'!B382)</f>
        <v>1833</v>
      </c>
      <c r="AD382" s="224">
        <f t="shared" si="99"/>
        <v>106</v>
      </c>
      <c r="AE382" s="224">
        <f t="shared" si="100"/>
        <v>0</v>
      </c>
      <c r="AF382" s="224">
        <f t="shared" si="101"/>
        <v>172.7</v>
      </c>
      <c r="AG382" s="224">
        <f t="shared" si="102"/>
        <v>10.6</v>
      </c>
      <c r="AH382" s="257">
        <f t="shared" si="104"/>
        <v>0</v>
      </c>
      <c r="AI382" s="258">
        <f t="shared" si="105"/>
        <v>0</v>
      </c>
      <c r="AJ382" s="55">
        <f>SUMIFS('tuot-INFO'!W:W,'tuot-INFO'!$A:$A,'tuot-PVÄ'!B382)</f>
        <v>76.817999999999998</v>
      </c>
      <c r="AK382" s="55">
        <f>SUMIFS('tuot-INFO'!X:X,'tuot-INFO'!$A:$A,'tuot-PVÄ'!B382)</f>
        <v>8.2599999999999909</v>
      </c>
    </row>
    <row r="383" spans="1:37" x14ac:dyDescent="0.25">
      <c r="A383" s="169">
        <f t="shared" si="103"/>
        <v>42869</v>
      </c>
      <c r="B383" s="23">
        <f>ROUNDUP((A383-Yleistiedot!$B$4)/7,0)</f>
        <v>72</v>
      </c>
      <c r="C383" s="16"/>
      <c r="D383" s="25"/>
      <c r="E383" s="25"/>
      <c r="F383" s="25"/>
      <c r="G383" s="25"/>
      <c r="H383" s="25"/>
      <c r="I383" s="65">
        <f t="shared" si="98"/>
        <v>0</v>
      </c>
      <c r="J383" s="26"/>
      <c r="K383" s="25"/>
      <c r="L383" s="16"/>
      <c r="M383" s="16"/>
      <c r="N383" s="25"/>
      <c r="O383" s="30"/>
      <c r="P383" s="252">
        <f t="shared" si="110"/>
        <v>9990</v>
      </c>
      <c r="Q383" s="253">
        <f t="shared" si="111"/>
        <v>0</v>
      </c>
      <c r="R383" s="253">
        <f t="shared" si="112"/>
        <v>0</v>
      </c>
      <c r="S383" s="251">
        <f>SUMIFS('tuot-rehukirjanpito'!D:D,'tuot-rehukirjanpito'!A:A,A383)</f>
        <v>0</v>
      </c>
      <c r="T383" s="254">
        <f t="shared" si="106"/>
        <v>1098.9000000000001</v>
      </c>
      <c r="U383" s="254">
        <f t="shared" si="107"/>
        <v>1098.8999999999999</v>
      </c>
      <c r="V383" s="252">
        <f t="shared" si="108"/>
        <v>-418680.90000000235</v>
      </c>
      <c r="W383" s="255">
        <f t="shared" si="109"/>
        <v>-381.0000000000021</v>
      </c>
      <c r="X383" s="256" t="str">
        <f t="shared" si="113"/>
        <v/>
      </c>
      <c r="Y383" s="256" t="str">
        <f t="shared" si="114"/>
        <v/>
      </c>
      <c r="Z383" s="224" t="str">
        <f>IF(IFERROR(INDEX('tuot-rehukirjanpito'!I:I,MATCH(A383,'tuot-rehukirjanpito'!G:G,0)),)=0,"",INDEX('tuot-rehukirjanpito'!I:I,MATCH(A383,'tuot-rehukirjanpito'!G:G,0)))</f>
        <v/>
      </c>
      <c r="AA383" s="224">
        <f>SUMIFS('tuot-INFO'!$K$10:$K$115,'tuot-INFO'!$A$10:$A$115,'tuot-PVÄ'!B383)</f>
        <v>65.8</v>
      </c>
      <c r="AB383" s="224">
        <f>SUMIFS('rehu-vesi-INFO'!$R:$R,'rehu-vesi-INFO'!$A:$A,'tuot-PVÄ'!B383)</f>
        <v>1727</v>
      </c>
      <c r="AC383" s="224">
        <f>SUMIFS('rehu-vesi-INFO'!$S:$S,'rehu-vesi-INFO'!$A:$A,'tuot-PVÄ'!B383)</f>
        <v>1833</v>
      </c>
      <c r="AD383" s="224">
        <f t="shared" si="99"/>
        <v>106</v>
      </c>
      <c r="AE383" s="224">
        <f t="shared" si="100"/>
        <v>0</v>
      </c>
      <c r="AF383" s="224">
        <f t="shared" si="101"/>
        <v>172.7</v>
      </c>
      <c r="AG383" s="224">
        <f t="shared" si="102"/>
        <v>10.6</v>
      </c>
      <c r="AH383" s="257">
        <f t="shared" si="104"/>
        <v>0</v>
      </c>
      <c r="AI383" s="258">
        <f t="shared" si="105"/>
        <v>0</v>
      </c>
      <c r="AJ383" s="55">
        <f>SUMIFS('tuot-INFO'!W:W,'tuot-INFO'!$A:$A,'tuot-PVÄ'!B383)</f>
        <v>76.817999999999998</v>
      </c>
      <c r="AK383" s="55">
        <f>SUMIFS('tuot-INFO'!X:X,'tuot-INFO'!$A:$A,'tuot-PVÄ'!B383)</f>
        <v>8.2599999999999909</v>
      </c>
    </row>
    <row r="384" spans="1:37" x14ac:dyDescent="0.25">
      <c r="A384" s="169">
        <f t="shared" si="103"/>
        <v>42870</v>
      </c>
      <c r="B384" s="23">
        <f>ROUNDUP((A384-Yleistiedot!$B$4)/7,0)</f>
        <v>72</v>
      </c>
      <c r="C384" s="16"/>
      <c r="D384" s="25"/>
      <c r="E384" s="25"/>
      <c r="F384" s="25"/>
      <c r="G384" s="25"/>
      <c r="H384" s="25"/>
      <c r="I384" s="65">
        <f t="shared" si="98"/>
        <v>0</v>
      </c>
      <c r="J384" s="26"/>
      <c r="K384" s="25"/>
      <c r="L384" s="16"/>
      <c r="M384" s="16"/>
      <c r="N384" s="25"/>
      <c r="O384" s="30"/>
      <c r="P384" s="252">
        <f t="shared" si="110"/>
        <v>9990</v>
      </c>
      <c r="Q384" s="253">
        <f t="shared" si="111"/>
        <v>0</v>
      </c>
      <c r="R384" s="253">
        <f t="shared" si="112"/>
        <v>0</v>
      </c>
      <c r="S384" s="251">
        <f>SUMIFS('tuot-rehukirjanpito'!D:D,'tuot-rehukirjanpito'!A:A,A384)</f>
        <v>0</v>
      </c>
      <c r="T384" s="254">
        <f t="shared" si="106"/>
        <v>1098.9000000000001</v>
      </c>
      <c r="U384" s="254">
        <f t="shared" si="107"/>
        <v>1098.8999999999999</v>
      </c>
      <c r="V384" s="252">
        <f t="shared" si="108"/>
        <v>-419779.80000000237</v>
      </c>
      <c r="W384" s="255">
        <f t="shared" si="109"/>
        <v>-382.0000000000021</v>
      </c>
      <c r="X384" s="256" t="str">
        <f t="shared" si="113"/>
        <v/>
      </c>
      <c r="Y384" s="256" t="str">
        <f t="shared" si="114"/>
        <v/>
      </c>
      <c r="Z384" s="224" t="str">
        <f>IF(IFERROR(INDEX('tuot-rehukirjanpito'!I:I,MATCH(A384,'tuot-rehukirjanpito'!G:G,0)),)=0,"",INDEX('tuot-rehukirjanpito'!I:I,MATCH(A384,'tuot-rehukirjanpito'!G:G,0)))</f>
        <v/>
      </c>
      <c r="AA384" s="224">
        <f>SUMIFS('tuot-INFO'!$K$10:$K$115,'tuot-INFO'!$A$10:$A$115,'tuot-PVÄ'!B384)</f>
        <v>65.8</v>
      </c>
      <c r="AB384" s="224">
        <f>SUMIFS('rehu-vesi-INFO'!$R:$R,'rehu-vesi-INFO'!$A:$A,'tuot-PVÄ'!B384)</f>
        <v>1727</v>
      </c>
      <c r="AC384" s="224">
        <f>SUMIFS('rehu-vesi-INFO'!$S:$S,'rehu-vesi-INFO'!$A:$A,'tuot-PVÄ'!B384)</f>
        <v>1833</v>
      </c>
      <c r="AD384" s="224">
        <f t="shared" si="99"/>
        <v>106</v>
      </c>
      <c r="AE384" s="224">
        <f t="shared" si="100"/>
        <v>0</v>
      </c>
      <c r="AF384" s="224">
        <f t="shared" si="101"/>
        <v>172.7</v>
      </c>
      <c r="AG384" s="224">
        <f t="shared" si="102"/>
        <v>10.6</v>
      </c>
      <c r="AH384" s="257">
        <f t="shared" si="104"/>
        <v>0</v>
      </c>
      <c r="AI384" s="258">
        <f t="shared" si="105"/>
        <v>0</v>
      </c>
      <c r="AJ384" s="55">
        <f>SUMIFS('tuot-INFO'!W:W,'tuot-INFO'!$A:$A,'tuot-PVÄ'!B384)</f>
        <v>76.817999999999998</v>
      </c>
      <c r="AK384" s="55">
        <f>SUMIFS('tuot-INFO'!X:X,'tuot-INFO'!$A:$A,'tuot-PVÄ'!B384)</f>
        <v>8.2599999999999909</v>
      </c>
    </row>
    <row r="385" spans="1:37" x14ac:dyDescent="0.25">
      <c r="A385" s="169">
        <f t="shared" si="103"/>
        <v>42871</v>
      </c>
      <c r="B385" s="23">
        <f>ROUNDUP((A385-Yleistiedot!$B$4)/7,0)</f>
        <v>72</v>
      </c>
      <c r="C385" s="16"/>
      <c r="D385" s="25"/>
      <c r="E385" s="25"/>
      <c r="F385" s="25"/>
      <c r="G385" s="25"/>
      <c r="H385" s="25"/>
      <c r="I385" s="65">
        <f t="shared" si="98"/>
        <v>0</v>
      </c>
      <c r="J385" s="26"/>
      <c r="K385" s="25"/>
      <c r="L385" s="16"/>
      <c r="M385" s="16"/>
      <c r="N385" s="25"/>
      <c r="O385" s="30"/>
      <c r="P385" s="252">
        <f t="shared" si="110"/>
        <v>9990</v>
      </c>
      <c r="Q385" s="253">
        <f t="shared" si="111"/>
        <v>0</v>
      </c>
      <c r="R385" s="253">
        <f t="shared" si="112"/>
        <v>0</v>
      </c>
      <c r="S385" s="251">
        <f>SUMIFS('tuot-rehukirjanpito'!D:D,'tuot-rehukirjanpito'!A:A,A385)</f>
        <v>0</v>
      </c>
      <c r="T385" s="254">
        <f t="shared" si="106"/>
        <v>1098.9000000000001</v>
      </c>
      <c r="U385" s="254">
        <f t="shared" si="107"/>
        <v>1098.8999999999999</v>
      </c>
      <c r="V385" s="252">
        <f t="shared" si="108"/>
        <v>-420878.7000000024</v>
      </c>
      <c r="W385" s="255">
        <f t="shared" si="109"/>
        <v>-383.00000000000216</v>
      </c>
      <c r="X385" s="256" t="str">
        <f t="shared" si="113"/>
        <v/>
      </c>
      <c r="Y385" s="256" t="str">
        <f t="shared" si="114"/>
        <v/>
      </c>
      <c r="Z385" s="224" t="str">
        <f>IF(IFERROR(INDEX('tuot-rehukirjanpito'!I:I,MATCH(A385,'tuot-rehukirjanpito'!G:G,0)),)=0,"",INDEX('tuot-rehukirjanpito'!I:I,MATCH(A385,'tuot-rehukirjanpito'!G:G,0)))</f>
        <v/>
      </c>
      <c r="AA385" s="224">
        <f>SUMIFS('tuot-INFO'!$K$10:$K$115,'tuot-INFO'!$A$10:$A$115,'tuot-PVÄ'!B385)</f>
        <v>65.8</v>
      </c>
      <c r="AB385" s="224">
        <f>SUMIFS('rehu-vesi-INFO'!$R:$R,'rehu-vesi-INFO'!$A:$A,'tuot-PVÄ'!B385)</f>
        <v>1727</v>
      </c>
      <c r="AC385" s="224">
        <f>SUMIFS('rehu-vesi-INFO'!$S:$S,'rehu-vesi-INFO'!$A:$A,'tuot-PVÄ'!B385)</f>
        <v>1833</v>
      </c>
      <c r="AD385" s="224">
        <f t="shared" si="99"/>
        <v>106</v>
      </c>
      <c r="AE385" s="224">
        <f t="shared" si="100"/>
        <v>0</v>
      </c>
      <c r="AF385" s="224">
        <f t="shared" si="101"/>
        <v>172.7</v>
      </c>
      <c r="AG385" s="224">
        <f t="shared" si="102"/>
        <v>10.6</v>
      </c>
      <c r="AH385" s="257">
        <f t="shared" si="104"/>
        <v>0</v>
      </c>
      <c r="AI385" s="258">
        <f t="shared" si="105"/>
        <v>0</v>
      </c>
      <c r="AJ385" s="55">
        <f>SUMIFS('tuot-INFO'!W:W,'tuot-INFO'!$A:$A,'tuot-PVÄ'!B385)</f>
        <v>76.817999999999998</v>
      </c>
      <c r="AK385" s="55">
        <f>SUMIFS('tuot-INFO'!X:X,'tuot-INFO'!$A:$A,'tuot-PVÄ'!B385)</f>
        <v>8.2599999999999909</v>
      </c>
    </row>
    <row r="386" spans="1:37" x14ac:dyDescent="0.25">
      <c r="A386" s="169">
        <f t="shared" si="103"/>
        <v>42872</v>
      </c>
      <c r="B386" s="23">
        <f>ROUNDUP((A386-Yleistiedot!$B$4)/7,0)</f>
        <v>72</v>
      </c>
      <c r="C386" s="16"/>
      <c r="D386" s="25"/>
      <c r="E386" s="25"/>
      <c r="F386" s="25"/>
      <c r="G386" s="25"/>
      <c r="H386" s="25"/>
      <c r="I386" s="65">
        <f t="shared" si="98"/>
        <v>0</v>
      </c>
      <c r="J386" s="26"/>
      <c r="K386" s="25"/>
      <c r="L386" s="16"/>
      <c r="M386" s="16"/>
      <c r="N386" s="25"/>
      <c r="O386" s="30"/>
      <c r="P386" s="252">
        <f t="shared" si="110"/>
        <v>9990</v>
      </c>
      <c r="Q386" s="253">
        <f t="shared" si="111"/>
        <v>0</v>
      </c>
      <c r="R386" s="253">
        <f t="shared" si="112"/>
        <v>0</v>
      </c>
      <c r="S386" s="251">
        <f>SUMIFS('tuot-rehukirjanpito'!D:D,'tuot-rehukirjanpito'!A:A,A386)</f>
        <v>0</v>
      </c>
      <c r="T386" s="254">
        <f t="shared" si="106"/>
        <v>1098.9000000000001</v>
      </c>
      <c r="U386" s="254">
        <f t="shared" si="107"/>
        <v>1098.8999999999999</v>
      </c>
      <c r="V386" s="252">
        <f t="shared" si="108"/>
        <v>-421977.60000000242</v>
      </c>
      <c r="W386" s="255">
        <f t="shared" si="109"/>
        <v>-384.00000000000216</v>
      </c>
      <c r="X386" s="256" t="str">
        <f t="shared" si="113"/>
        <v/>
      </c>
      <c r="Y386" s="256" t="str">
        <f t="shared" si="114"/>
        <v/>
      </c>
      <c r="Z386" s="224" t="str">
        <f>IF(IFERROR(INDEX('tuot-rehukirjanpito'!I:I,MATCH(A386,'tuot-rehukirjanpito'!G:G,0)),)=0,"",INDEX('tuot-rehukirjanpito'!I:I,MATCH(A386,'tuot-rehukirjanpito'!G:G,0)))</f>
        <v/>
      </c>
      <c r="AA386" s="224">
        <f>SUMIFS('tuot-INFO'!$K$10:$K$115,'tuot-INFO'!$A$10:$A$115,'tuot-PVÄ'!B386)</f>
        <v>65.8</v>
      </c>
      <c r="AB386" s="224">
        <f>SUMIFS('rehu-vesi-INFO'!$R:$R,'rehu-vesi-INFO'!$A:$A,'tuot-PVÄ'!B386)</f>
        <v>1727</v>
      </c>
      <c r="AC386" s="224">
        <f>SUMIFS('rehu-vesi-INFO'!$S:$S,'rehu-vesi-INFO'!$A:$A,'tuot-PVÄ'!B386)</f>
        <v>1833</v>
      </c>
      <c r="AD386" s="224">
        <f t="shared" si="99"/>
        <v>106</v>
      </c>
      <c r="AE386" s="224">
        <f t="shared" si="100"/>
        <v>0</v>
      </c>
      <c r="AF386" s="224">
        <f t="shared" si="101"/>
        <v>172.7</v>
      </c>
      <c r="AG386" s="224">
        <f t="shared" si="102"/>
        <v>10.6</v>
      </c>
      <c r="AH386" s="257">
        <f t="shared" si="104"/>
        <v>0</v>
      </c>
      <c r="AI386" s="258">
        <f t="shared" si="105"/>
        <v>0</v>
      </c>
      <c r="AJ386" s="55">
        <f>SUMIFS('tuot-INFO'!W:W,'tuot-INFO'!$A:$A,'tuot-PVÄ'!B386)</f>
        <v>76.817999999999998</v>
      </c>
      <c r="AK386" s="55">
        <f>SUMIFS('tuot-INFO'!X:X,'tuot-INFO'!$A:$A,'tuot-PVÄ'!B386)</f>
        <v>8.2599999999999909</v>
      </c>
    </row>
    <row r="387" spans="1:37" x14ac:dyDescent="0.25">
      <c r="A387" s="169">
        <f t="shared" si="103"/>
        <v>42873</v>
      </c>
      <c r="B387" s="23">
        <f>ROUNDUP((A387-Yleistiedot!$B$4)/7,0)</f>
        <v>72</v>
      </c>
      <c r="C387" s="16"/>
      <c r="D387" s="25"/>
      <c r="E387" s="25"/>
      <c r="F387" s="25"/>
      <c r="G387" s="25"/>
      <c r="H387" s="25"/>
      <c r="I387" s="65">
        <f t="shared" si="98"/>
        <v>0</v>
      </c>
      <c r="J387" s="26"/>
      <c r="K387" s="25"/>
      <c r="L387" s="16"/>
      <c r="M387" s="16"/>
      <c r="N387" s="25"/>
      <c r="O387" s="30"/>
      <c r="P387" s="252">
        <f t="shared" si="110"/>
        <v>9990</v>
      </c>
      <c r="Q387" s="253">
        <f t="shared" si="111"/>
        <v>0</v>
      </c>
      <c r="R387" s="253">
        <f t="shared" si="112"/>
        <v>0</v>
      </c>
      <c r="S387" s="251">
        <f>SUMIFS('tuot-rehukirjanpito'!D:D,'tuot-rehukirjanpito'!A:A,A387)</f>
        <v>0</v>
      </c>
      <c r="T387" s="254">
        <f t="shared" si="106"/>
        <v>1098.9000000000001</v>
      </c>
      <c r="U387" s="254">
        <f t="shared" si="107"/>
        <v>1098.8999999999999</v>
      </c>
      <c r="V387" s="252">
        <f t="shared" si="108"/>
        <v>-423076.50000000244</v>
      </c>
      <c r="W387" s="255">
        <f t="shared" si="109"/>
        <v>-385.00000000000222</v>
      </c>
      <c r="X387" s="256" t="str">
        <f t="shared" si="113"/>
        <v/>
      </c>
      <c r="Y387" s="256" t="str">
        <f t="shared" si="114"/>
        <v/>
      </c>
      <c r="Z387" s="224" t="str">
        <f>IF(IFERROR(INDEX('tuot-rehukirjanpito'!I:I,MATCH(A387,'tuot-rehukirjanpito'!G:G,0)),)=0,"",INDEX('tuot-rehukirjanpito'!I:I,MATCH(A387,'tuot-rehukirjanpito'!G:G,0)))</f>
        <v/>
      </c>
      <c r="AA387" s="224">
        <f>SUMIFS('tuot-INFO'!$K$10:$K$115,'tuot-INFO'!$A$10:$A$115,'tuot-PVÄ'!B387)</f>
        <v>65.8</v>
      </c>
      <c r="AB387" s="224">
        <f>SUMIFS('rehu-vesi-INFO'!$R:$R,'rehu-vesi-INFO'!$A:$A,'tuot-PVÄ'!B387)</f>
        <v>1727</v>
      </c>
      <c r="AC387" s="224">
        <f>SUMIFS('rehu-vesi-INFO'!$S:$S,'rehu-vesi-INFO'!$A:$A,'tuot-PVÄ'!B387)</f>
        <v>1833</v>
      </c>
      <c r="AD387" s="224">
        <f t="shared" si="99"/>
        <v>106</v>
      </c>
      <c r="AE387" s="224">
        <f t="shared" si="100"/>
        <v>0</v>
      </c>
      <c r="AF387" s="224">
        <f t="shared" si="101"/>
        <v>172.7</v>
      </c>
      <c r="AG387" s="224">
        <f t="shared" si="102"/>
        <v>10.6</v>
      </c>
      <c r="AH387" s="257">
        <f t="shared" si="104"/>
        <v>0</v>
      </c>
      <c r="AI387" s="258">
        <f t="shared" si="105"/>
        <v>0</v>
      </c>
      <c r="AJ387" s="55">
        <f>SUMIFS('tuot-INFO'!W:W,'tuot-INFO'!$A:$A,'tuot-PVÄ'!B387)</f>
        <v>76.817999999999998</v>
      </c>
      <c r="AK387" s="55">
        <f>SUMIFS('tuot-INFO'!X:X,'tuot-INFO'!$A:$A,'tuot-PVÄ'!B387)</f>
        <v>8.2599999999999909</v>
      </c>
    </row>
    <row r="388" spans="1:37" x14ac:dyDescent="0.25">
      <c r="A388" s="169">
        <f t="shared" si="103"/>
        <v>42874</v>
      </c>
      <c r="B388" s="23">
        <f>ROUNDUP((A388-Yleistiedot!$B$4)/7,0)</f>
        <v>72</v>
      </c>
      <c r="C388" s="16"/>
      <c r="D388" s="25"/>
      <c r="E388" s="25"/>
      <c r="F388" s="25"/>
      <c r="G388" s="25"/>
      <c r="H388" s="25"/>
      <c r="I388" s="65">
        <f t="shared" ref="I388:I451" si="115">SUM(E388:H388)</f>
        <v>0</v>
      </c>
      <c r="J388" s="26"/>
      <c r="K388" s="25"/>
      <c r="L388" s="16"/>
      <c r="M388" s="16"/>
      <c r="N388" s="25"/>
      <c r="O388" s="30"/>
      <c r="P388" s="252">
        <f t="shared" si="110"/>
        <v>9990</v>
      </c>
      <c r="Q388" s="253">
        <f t="shared" si="111"/>
        <v>0</v>
      </c>
      <c r="R388" s="253">
        <f t="shared" si="112"/>
        <v>0</v>
      </c>
      <c r="S388" s="251">
        <f>SUMIFS('tuot-rehukirjanpito'!D:D,'tuot-rehukirjanpito'!A:A,A388)</f>
        <v>0</v>
      </c>
      <c r="T388" s="254">
        <f t="shared" si="106"/>
        <v>1098.9000000000001</v>
      </c>
      <c r="U388" s="254">
        <f t="shared" si="107"/>
        <v>1098.8999999999999</v>
      </c>
      <c r="V388" s="252">
        <f t="shared" si="108"/>
        <v>-424175.40000000247</v>
      </c>
      <c r="W388" s="255">
        <f t="shared" si="109"/>
        <v>-386.00000000000222</v>
      </c>
      <c r="X388" s="256" t="str">
        <f t="shared" si="113"/>
        <v/>
      </c>
      <c r="Y388" s="256" t="str">
        <f t="shared" si="114"/>
        <v/>
      </c>
      <c r="Z388" s="224" t="str">
        <f>IF(IFERROR(INDEX('tuot-rehukirjanpito'!I:I,MATCH(A388,'tuot-rehukirjanpito'!G:G,0)),)=0,"",INDEX('tuot-rehukirjanpito'!I:I,MATCH(A388,'tuot-rehukirjanpito'!G:G,0)))</f>
        <v/>
      </c>
      <c r="AA388" s="224">
        <f>SUMIFS('tuot-INFO'!$K$10:$K$115,'tuot-INFO'!$A$10:$A$115,'tuot-PVÄ'!B388)</f>
        <v>65.8</v>
      </c>
      <c r="AB388" s="224">
        <f>SUMIFS('rehu-vesi-INFO'!$R:$R,'rehu-vesi-INFO'!$A:$A,'tuot-PVÄ'!B388)</f>
        <v>1727</v>
      </c>
      <c r="AC388" s="224">
        <f>SUMIFS('rehu-vesi-INFO'!$S:$S,'rehu-vesi-INFO'!$A:$A,'tuot-PVÄ'!B388)</f>
        <v>1833</v>
      </c>
      <c r="AD388" s="224">
        <f t="shared" ref="AD388:AD451" si="116">AC388-AB388</f>
        <v>106</v>
      </c>
      <c r="AE388" s="224">
        <f t="shared" ref="AE388:AE451" si="117">K388/10</f>
        <v>0</v>
      </c>
      <c r="AF388" s="224">
        <f t="shared" ref="AF388:AF451" si="118">AB388/10</f>
        <v>172.7</v>
      </c>
      <c r="AG388" s="224">
        <f t="shared" ref="AG388:AG451" si="119">AD388/10</f>
        <v>10.6</v>
      </c>
      <c r="AH388" s="257">
        <f t="shared" si="104"/>
        <v>0</v>
      </c>
      <c r="AI388" s="258">
        <f t="shared" si="105"/>
        <v>0</v>
      </c>
      <c r="AJ388" s="55">
        <f>SUMIFS('tuot-INFO'!W:W,'tuot-INFO'!$A:$A,'tuot-PVÄ'!B388)</f>
        <v>76.817999999999998</v>
      </c>
      <c r="AK388" s="55">
        <f>SUMIFS('tuot-INFO'!X:X,'tuot-INFO'!$A:$A,'tuot-PVÄ'!B388)</f>
        <v>8.2599999999999909</v>
      </c>
    </row>
    <row r="389" spans="1:37" x14ac:dyDescent="0.25">
      <c r="A389" s="169">
        <f t="shared" ref="A389:A452" si="120">A388+1</f>
        <v>42875</v>
      </c>
      <c r="B389" s="23">
        <f>ROUNDUP((A389-Yleistiedot!$B$4)/7,0)</f>
        <v>73</v>
      </c>
      <c r="C389" s="16"/>
      <c r="D389" s="25"/>
      <c r="E389" s="25"/>
      <c r="F389" s="25"/>
      <c r="G389" s="25"/>
      <c r="H389" s="25"/>
      <c r="I389" s="65">
        <f t="shared" si="115"/>
        <v>0</v>
      </c>
      <c r="J389" s="26"/>
      <c r="K389" s="25"/>
      <c r="L389" s="16"/>
      <c r="M389" s="16"/>
      <c r="N389" s="25"/>
      <c r="O389" s="30"/>
      <c r="P389" s="252">
        <f t="shared" si="110"/>
        <v>9990</v>
      </c>
      <c r="Q389" s="253">
        <f t="shared" si="111"/>
        <v>0</v>
      </c>
      <c r="R389" s="253">
        <f t="shared" si="112"/>
        <v>0</v>
      </c>
      <c r="S389" s="251">
        <f>SUMIFS('tuot-rehukirjanpito'!D:D,'tuot-rehukirjanpito'!A:A,A389)</f>
        <v>0</v>
      </c>
      <c r="T389" s="254">
        <f t="shared" si="106"/>
        <v>1098.9000000000001</v>
      </c>
      <c r="U389" s="254">
        <f t="shared" si="107"/>
        <v>1098.8999999999999</v>
      </c>
      <c r="V389" s="252">
        <f t="shared" si="108"/>
        <v>-425274.30000000249</v>
      </c>
      <c r="W389" s="255">
        <f t="shared" si="109"/>
        <v>-387.00000000000222</v>
      </c>
      <c r="X389" s="256" t="str">
        <f t="shared" si="113"/>
        <v/>
      </c>
      <c r="Y389" s="256" t="str">
        <f t="shared" si="114"/>
        <v/>
      </c>
      <c r="Z389" s="224" t="str">
        <f>IF(IFERROR(INDEX('tuot-rehukirjanpito'!I:I,MATCH(A389,'tuot-rehukirjanpito'!G:G,0)),)=0,"",INDEX('tuot-rehukirjanpito'!I:I,MATCH(A389,'tuot-rehukirjanpito'!G:G,0)))</f>
        <v/>
      </c>
      <c r="AA389" s="224">
        <f>SUMIFS('tuot-INFO'!$K$10:$K$115,'tuot-INFO'!$A$10:$A$115,'tuot-PVÄ'!B389)</f>
        <v>65.900000000000006</v>
      </c>
      <c r="AB389" s="224">
        <f>SUMIFS('rehu-vesi-INFO'!$R:$R,'rehu-vesi-INFO'!$A:$A,'tuot-PVÄ'!B389)</f>
        <v>1728</v>
      </c>
      <c r="AC389" s="224">
        <f>SUMIFS('rehu-vesi-INFO'!$S:$S,'rehu-vesi-INFO'!$A:$A,'tuot-PVÄ'!B389)</f>
        <v>1834</v>
      </c>
      <c r="AD389" s="224">
        <f t="shared" si="116"/>
        <v>106</v>
      </c>
      <c r="AE389" s="224">
        <f t="shared" si="117"/>
        <v>0</v>
      </c>
      <c r="AF389" s="224">
        <f t="shared" si="118"/>
        <v>172.8</v>
      </c>
      <c r="AG389" s="224">
        <f t="shared" si="119"/>
        <v>10.6</v>
      </c>
      <c r="AH389" s="257">
        <f t="shared" si="104"/>
        <v>0</v>
      </c>
      <c r="AI389" s="258">
        <f t="shared" si="105"/>
        <v>0</v>
      </c>
      <c r="AJ389" s="55">
        <f>SUMIFS('tuot-INFO'!W:W,'tuot-INFO'!$A:$A,'tuot-PVÄ'!B389)</f>
        <v>76.260000000000005</v>
      </c>
      <c r="AK389" s="55">
        <f>SUMIFS('tuot-INFO'!X:X,'tuot-INFO'!$A:$A,'tuot-PVÄ'!B389)</f>
        <v>8.1999999999999886</v>
      </c>
    </row>
    <row r="390" spans="1:37" x14ac:dyDescent="0.25">
      <c r="A390" s="169">
        <f t="shared" si="120"/>
        <v>42876</v>
      </c>
      <c r="B390" s="23">
        <f>ROUNDUP((A390-Yleistiedot!$B$4)/7,0)</f>
        <v>73</v>
      </c>
      <c r="C390" s="16"/>
      <c r="D390" s="25"/>
      <c r="E390" s="25"/>
      <c r="F390" s="25"/>
      <c r="G390" s="25"/>
      <c r="H390" s="25"/>
      <c r="I390" s="65">
        <f t="shared" si="115"/>
        <v>0</v>
      </c>
      <c r="J390" s="26"/>
      <c r="K390" s="25"/>
      <c r="L390" s="16"/>
      <c r="M390" s="16"/>
      <c r="N390" s="25"/>
      <c r="O390" s="30"/>
      <c r="P390" s="252">
        <f t="shared" si="110"/>
        <v>9990</v>
      </c>
      <c r="Q390" s="253">
        <f t="shared" si="111"/>
        <v>0</v>
      </c>
      <c r="R390" s="253">
        <f t="shared" si="112"/>
        <v>0</v>
      </c>
      <c r="S390" s="251">
        <f>SUMIFS('tuot-rehukirjanpito'!D:D,'tuot-rehukirjanpito'!A:A,A390)</f>
        <v>0</v>
      </c>
      <c r="T390" s="254">
        <f t="shared" si="106"/>
        <v>1098.9000000000001</v>
      </c>
      <c r="U390" s="254">
        <f t="shared" si="107"/>
        <v>1098.8999999999999</v>
      </c>
      <c r="V390" s="252">
        <f t="shared" si="108"/>
        <v>-426373.20000000251</v>
      </c>
      <c r="W390" s="255">
        <f t="shared" si="109"/>
        <v>-388.00000000000227</v>
      </c>
      <c r="X390" s="256" t="str">
        <f t="shared" si="113"/>
        <v/>
      </c>
      <c r="Y390" s="256" t="str">
        <f t="shared" si="114"/>
        <v/>
      </c>
      <c r="Z390" s="224" t="str">
        <f>IF(IFERROR(INDEX('tuot-rehukirjanpito'!I:I,MATCH(A390,'tuot-rehukirjanpito'!G:G,0)),)=0,"",INDEX('tuot-rehukirjanpito'!I:I,MATCH(A390,'tuot-rehukirjanpito'!G:G,0)))</f>
        <v/>
      </c>
      <c r="AA390" s="224">
        <f>SUMIFS('tuot-INFO'!$K$10:$K$115,'tuot-INFO'!$A$10:$A$115,'tuot-PVÄ'!B390)</f>
        <v>65.900000000000006</v>
      </c>
      <c r="AB390" s="224">
        <f>SUMIFS('rehu-vesi-INFO'!$R:$R,'rehu-vesi-INFO'!$A:$A,'tuot-PVÄ'!B390)</f>
        <v>1728</v>
      </c>
      <c r="AC390" s="224">
        <f>SUMIFS('rehu-vesi-INFO'!$S:$S,'rehu-vesi-INFO'!$A:$A,'tuot-PVÄ'!B390)</f>
        <v>1834</v>
      </c>
      <c r="AD390" s="224">
        <f t="shared" si="116"/>
        <v>106</v>
      </c>
      <c r="AE390" s="224">
        <f t="shared" si="117"/>
        <v>0</v>
      </c>
      <c r="AF390" s="224">
        <f t="shared" si="118"/>
        <v>172.8</v>
      </c>
      <c r="AG390" s="224">
        <f t="shared" si="119"/>
        <v>10.6</v>
      </c>
      <c r="AH390" s="257">
        <f t="shared" ref="AH390:AH453" si="121">IFERROR(AVERAGE(L388:L390),)</f>
        <v>0</v>
      </c>
      <c r="AI390" s="258">
        <f t="shared" ref="AI390:AI453" si="122">AVERAGE(Q389+R389,Q390+R390,Q388+R388)</f>
        <v>0</v>
      </c>
      <c r="AJ390" s="55">
        <f>SUMIFS('tuot-INFO'!W:W,'tuot-INFO'!$A:$A,'tuot-PVÄ'!B390)</f>
        <v>76.260000000000005</v>
      </c>
      <c r="AK390" s="55">
        <f>SUMIFS('tuot-INFO'!X:X,'tuot-INFO'!$A:$A,'tuot-PVÄ'!B390)</f>
        <v>8.1999999999999886</v>
      </c>
    </row>
    <row r="391" spans="1:37" x14ac:dyDescent="0.25">
      <c r="A391" s="169">
        <f t="shared" si="120"/>
        <v>42877</v>
      </c>
      <c r="B391" s="23">
        <f>ROUNDUP((A391-Yleistiedot!$B$4)/7,0)</f>
        <v>73</v>
      </c>
      <c r="C391" s="16"/>
      <c r="D391" s="25"/>
      <c r="E391" s="25"/>
      <c r="F391" s="25"/>
      <c r="G391" s="25"/>
      <c r="H391" s="25"/>
      <c r="I391" s="65">
        <f t="shared" si="115"/>
        <v>0</v>
      </c>
      <c r="J391" s="26"/>
      <c r="K391" s="25"/>
      <c r="L391" s="16"/>
      <c r="M391" s="16"/>
      <c r="N391" s="25"/>
      <c r="O391" s="30"/>
      <c r="P391" s="252">
        <f t="shared" si="110"/>
        <v>9990</v>
      </c>
      <c r="Q391" s="253">
        <f t="shared" si="111"/>
        <v>0</v>
      </c>
      <c r="R391" s="253">
        <f t="shared" si="112"/>
        <v>0</v>
      </c>
      <c r="S391" s="251">
        <f>SUMIFS('tuot-rehukirjanpito'!D:D,'tuot-rehukirjanpito'!A:A,A391)</f>
        <v>0</v>
      </c>
      <c r="T391" s="254">
        <f t="shared" si="106"/>
        <v>1098.9000000000001</v>
      </c>
      <c r="U391" s="254">
        <f t="shared" si="107"/>
        <v>1098.8999999999999</v>
      </c>
      <c r="V391" s="252">
        <f t="shared" si="108"/>
        <v>-427472.10000000254</v>
      </c>
      <c r="W391" s="255">
        <f t="shared" si="109"/>
        <v>-389.00000000000227</v>
      </c>
      <c r="X391" s="256" t="str">
        <f t="shared" si="113"/>
        <v/>
      </c>
      <c r="Y391" s="256" t="str">
        <f t="shared" si="114"/>
        <v/>
      </c>
      <c r="Z391" s="224" t="str">
        <f>IF(IFERROR(INDEX('tuot-rehukirjanpito'!I:I,MATCH(A391,'tuot-rehukirjanpito'!G:G,0)),)=0,"",INDEX('tuot-rehukirjanpito'!I:I,MATCH(A391,'tuot-rehukirjanpito'!G:G,0)))</f>
        <v/>
      </c>
      <c r="AA391" s="224">
        <f>SUMIFS('tuot-INFO'!$K$10:$K$115,'tuot-INFO'!$A$10:$A$115,'tuot-PVÄ'!B391)</f>
        <v>65.900000000000006</v>
      </c>
      <c r="AB391" s="224">
        <f>SUMIFS('rehu-vesi-INFO'!$R:$R,'rehu-vesi-INFO'!$A:$A,'tuot-PVÄ'!B391)</f>
        <v>1728</v>
      </c>
      <c r="AC391" s="224">
        <f>SUMIFS('rehu-vesi-INFO'!$S:$S,'rehu-vesi-INFO'!$A:$A,'tuot-PVÄ'!B391)</f>
        <v>1834</v>
      </c>
      <c r="AD391" s="224">
        <f t="shared" si="116"/>
        <v>106</v>
      </c>
      <c r="AE391" s="224">
        <f t="shared" si="117"/>
        <v>0</v>
      </c>
      <c r="AF391" s="224">
        <f t="shared" si="118"/>
        <v>172.8</v>
      </c>
      <c r="AG391" s="224">
        <f t="shared" si="119"/>
        <v>10.6</v>
      </c>
      <c r="AH391" s="257">
        <f t="shared" si="121"/>
        <v>0</v>
      </c>
      <c r="AI391" s="258">
        <f t="shared" si="122"/>
        <v>0</v>
      </c>
      <c r="AJ391" s="55">
        <f>SUMIFS('tuot-INFO'!W:W,'tuot-INFO'!$A:$A,'tuot-PVÄ'!B391)</f>
        <v>76.260000000000005</v>
      </c>
      <c r="AK391" s="55">
        <f>SUMIFS('tuot-INFO'!X:X,'tuot-INFO'!$A:$A,'tuot-PVÄ'!B391)</f>
        <v>8.1999999999999886</v>
      </c>
    </row>
    <row r="392" spans="1:37" x14ac:dyDescent="0.25">
      <c r="A392" s="169">
        <f t="shared" si="120"/>
        <v>42878</v>
      </c>
      <c r="B392" s="23">
        <f>ROUNDUP((A392-Yleistiedot!$B$4)/7,0)</f>
        <v>73</v>
      </c>
      <c r="C392" s="16"/>
      <c r="D392" s="25"/>
      <c r="E392" s="25"/>
      <c r="F392" s="25"/>
      <c r="G392" s="25"/>
      <c r="H392" s="25"/>
      <c r="I392" s="65">
        <f t="shared" si="115"/>
        <v>0</v>
      </c>
      <c r="J392" s="26"/>
      <c r="K392" s="25"/>
      <c r="L392" s="16"/>
      <c r="M392" s="16"/>
      <c r="N392" s="25"/>
      <c r="O392" s="30"/>
      <c r="P392" s="252">
        <f t="shared" si="110"/>
        <v>9990</v>
      </c>
      <c r="Q392" s="253">
        <f t="shared" si="111"/>
        <v>0</v>
      </c>
      <c r="R392" s="253">
        <f t="shared" si="112"/>
        <v>0</v>
      </c>
      <c r="S392" s="251">
        <f>SUMIFS('tuot-rehukirjanpito'!D:D,'tuot-rehukirjanpito'!A:A,A392)</f>
        <v>0</v>
      </c>
      <c r="T392" s="254">
        <f t="shared" ref="T392:T455" si="123">IF(L392&gt;0,P392*L392/1000,T391)</f>
        <v>1098.9000000000001</v>
      </c>
      <c r="U392" s="254">
        <f t="shared" ref="U392:U455" si="124">IFERROR(AVERAGEIF(T386:T392,"&lt;&gt;0"),0)</f>
        <v>1098.8999999999999</v>
      </c>
      <c r="V392" s="252">
        <f t="shared" ref="V392:V455" si="125">V391+S392-T392</f>
        <v>-428571.00000000256</v>
      </c>
      <c r="W392" s="255">
        <f t="shared" ref="W392:W455" si="126">IFERROR(V392/T392,"")</f>
        <v>-390.00000000000227</v>
      </c>
      <c r="X392" s="256" t="str">
        <f t="shared" si="113"/>
        <v/>
      </c>
      <c r="Y392" s="256" t="str">
        <f t="shared" si="114"/>
        <v/>
      </c>
      <c r="Z392" s="224" t="str">
        <f>IF(IFERROR(INDEX('tuot-rehukirjanpito'!I:I,MATCH(A392,'tuot-rehukirjanpito'!G:G,0)),)=0,"",INDEX('tuot-rehukirjanpito'!I:I,MATCH(A392,'tuot-rehukirjanpito'!G:G,0)))</f>
        <v/>
      </c>
      <c r="AA392" s="224">
        <f>SUMIFS('tuot-INFO'!$K$10:$K$115,'tuot-INFO'!$A$10:$A$115,'tuot-PVÄ'!B392)</f>
        <v>65.900000000000006</v>
      </c>
      <c r="AB392" s="224">
        <f>SUMIFS('rehu-vesi-INFO'!$R:$R,'rehu-vesi-INFO'!$A:$A,'tuot-PVÄ'!B392)</f>
        <v>1728</v>
      </c>
      <c r="AC392" s="224">
        <f>SUMIFS('rehu-vesi-INFO'!$S:$S,'rehu-vesi-INFO'!$A:$A,'tuot-PVÄ'!B392)</f>
        <v>1834</v>
      </c>
      <c r="AD392" s="224">
        <f t="shared" si="116"/>
        <v>106</v>
      </c>
      <c r="AE392" s="224">
        <f t="shared" si="117"/>
        <v>0</v>
      </c>
      <c r="AF392" s="224">
        <f t="shared" si="118"/>
        <v>172.8</v>
      </c>
      <c r="AG392" s="224">
        <f t="shared" si="119"/>
        <v>10.6</v>
      </c>
      <c r="AH392" s="257">
        <f t="shared" si="121"/>
        <v>0</v>
      </c>
      <c r="AI392" s="258">
        <f t="shared" si="122"/>
        <v>0</v>
      </c>
      <c r="AJ392" s="55">
        <f>SUMIFS('tuot-INFO'!W:W,'tuot-INFO'!$A:$A,'tuot-PVÄ'!B392)</f>
        <v>76.260000000000005</v>
      </c>
      <c r="AK392" s="55">
        <f>SUMIFS('tuot-INFO'!X:X,'tuot-INFO'!$A:$A,'tuot-PVÄ'!B392)</f>
        <v>8.1999999999999886</v>
      </c>
    </row>
    <row r="393" spans="1:37" x14ac:dyDescent="0.25">
      <c r="A393" s="169">
        <f t="shared" si="120"/>
        <v>42879</v>
      </c>
      <c r="B393" s="23">
        <f>ROUNDUP((A393-Yleistiedot!$B$4)/7,0)</f>
        <v>73</v>
      </c>
      <c r="C393" s="16"/>
      <c r="D393" s="25"/>
      <c r="E393" s="25"/>
      <c r="F393" s="25"/>
      <c r="G393" s="25"/>
      <c r="H393" s="25"/>
      <c r="I393" s="65">
        <f t="shared" si="115"/>
        <v>0</v>
      </c>
      <c r="J393" s="26"/>
      <c r="K393" s="25"/>
      <c r="L393" s="16"/>
      <c r="M393" s="16"/>
      <c r="N393" s="25"/>
      <c r="O393" s="30"/>
      <c r="P393" s="252">
        <f t="shared" si="110"/>
        <v>9990</v>
      </c>
      <c r="Q393" s="253">
        <f t="shared" si="111"/>
        <v>0</v>
      </c>
      <c r="R393" s="253">
        <f t="shared" si="112"/>
        <v>0</v>
      </c>
      <c r="S393" s="251">
        <f>SUMIFS('tuot-rehukirjanpito'!D:D,'tuot-rehukirjanpito'!A:A,A393)</f>
        <v>0</v>
      </c>
      <c r="T393" s="254">
        <f t="shared" si="123"/>
        <v>1098.9000000000001</v>
      </c>
      <c r="U393" s="254">
        <f t="shared" si="124"/>
        <v>1098.8999999999999</v>
      </c>
      <c r="V393" s="252">
        <f t="shared" si="125"/>
        <v>-429669.90000000258</v>
      </c>
      <c r="W393" s="255">
        <f t="shared" si="126"/>
        <v>-391.00000000000233</v>
      </c>
      <c r="X393" s="256" t="str">
        <f t="shared" si="113"/>
        <v/>
      </c>
      <c r="Y393" s="256" t="str">
        <f t="shared" si="114"/>
        <v/>
      </c>
      <c r="Z393" s="224" t="str">
        <f>IF(IFERROR(INDEX('tuot-rehukirjanpito'!I:I,MATCH(A393,'tuot-rehukirjanpito'!G:G,0)),)=0,"",INDEX('tuot-rehukirjanpito'!I:I,MATCH(A393,'tuot-rehukirjanpito'!G:G,0)))</f>
        <v/>
      </c>
      <c r="AA393" s="224">
        <f>SUMIFS('tuot-INFO'!$K$10:$K$115,'tuot-INFO'!$A$10:$A$115,'tuot-PVÄ'!B393)</f>
        <v>65.900000000000006</v>
      </c>
      <c r="AB393" s="224">
        <f>SUMIFS('rehu-vesi-INFO'!$R:$R,'rehu-vesi-INFO'!$A:$A,'tuot-PVÄ'!B393)</f>
        <v>1728</v>
      </c>
      <c r="AC393" s="224">
        <f>SUMIFS('rehu-vesi-INFO'!$S:$S,'rehu-vesi-INFO'!$A:$A,'tuot-PVÄ'!B393)</f>
        <v>1834</v>
      </c>
      <c r="AD393" s="224">
        <f t="shared" si="116"/>
        <v>106</v>
      </c>
      <c r="AE393" s="224">
        <f t="shared" si="117"/>
        <v>0</v>
      </c>
      <c r="AF393" s="224">
        <f t="shared" si="118"/>
        <v>172.8</v>
      </c>
      <c r="AG393" s="224">
        <f t="shared" si="119"/>
        <v>10.6</v>
      </c>
      <c r="AH393" s="257">
        <f t="shared" si="121"/>
        <v>0</v>
      </c>
      <c r="AI393" s="258">
        <f t="shared" si="122"/>
        <v>0</v>
      </c>
      <c r="AJ393" s="55">
        <f>SUMIFS('tuot-INFO'!W:W,'tuot-INFO'!$A:$A,'tuot-PVÄ'!B393)</f>
        <v>76.260000000000005</v>
      </c>
      <c r="AK393" s="55">
        <f>SUMIFS('tuot-INFO'!X:X,'tuot-INFO'!$A:$A,'tuot-PVÄ'!B393)</f>
        <v>8.1999999999999886</v>
      </c>
    </row>
    <row r="394" spans="1:37" x14ac:dyDescent="0.25">
      <c r="A394" s="169">
        <f t="shared" si="120"/>
        <v>42880</v>
      </c>
      <c r="B394" s="23">
        <f>ROUNDUP((A394-Yleistiedot!$B$4)/7,0)</f>
        <v>73</v>
      </c>
      <c r="C394" s="16"/>
      <c r="D394" s="25"/>
      <c r="E394" s="25"/>
      <c r="F394" s="25"/>
      <c r="G394" s="25"/>
      <c r="H394" s="25"/>
      <c r="I394" s="65">
        <f t="shared" si="115"/>
        <v>0</v>
      </c>
      <c r="J394" s="26"/>
      <c r="K394" s="25"/>
      <c r="L394" s="16"/>
      <c r="M394" s="16"/>
      <c r="N394" s="25"/>
      <c r="O394" s="30"/>
      <c r="P394" s="252">
        <f t="shared" si="110"/>
        <v>9990</v>
      </c>
      <c r="Q394" s="253">
        <f t="shared" si="111"/>
        <v>0</v>
      </c>
      <c r="R394" s="253">
        <f t="shared" si="112"/>
        <v>0</v>
      </c>
      <c r="S394" s="251">
        <f>SUMIFS('tuot-rehukirjanpito'!D:D,'tuot-rehukirjanpito'!A:A,A394)</f>
        <v>0</v>
      </c>
      <c r="T394" s="254">
        <f t="shared" si="123"/>
        <v>1098.9000000000001</v>
      </c>
      <c r="U394" s="254">
        <f t="shared" si="124"/>
        <v>1098.8999999999999</v>
      </c>
      <c r="V394" s="252">
        <f t="shared" si="125"/>
        <v>-430768.80000000261</v>
      </c>
      <c r="W394" s="255">
        <f t="shared" si="126"/>
        <v>-392.00000000000233</v>
      </c>
      <c r="X394" s="256" t="str">
        <f t="shared" si="113"/>
        <v/>
      </c>
      <c r="Y394" s="256" t="str">
        <f t="shared" si="114"/>
        <v/>
      </c>
      <c r="Z394" s="224" t="str">
        <f>IF(IFERROR(INDEX('tuot-rehukirjanpito'!I:I,MATCH(A394,'tuot-rehukirjanpito'!G:G,0)),)=0,"",INDEX('tuot-rehukirjanpito'!I:I,MATCH(A394,'tuot-rehukirjanpito'!G:G,0)))</f>
        <v/>
      </c>
      <c r="AA394" s="224">
        <f>SUMIFS('tuot-INFO'!$K$10:$K$115,'tuot-INFO'!$A$10:$A$115,'tuot-PVÄ'!B394)</f>
        <v>65.900000000000006</v>
      </c>
      <c r="AB394" s="224">
        <f>SUMIFS('rehu-vesi-INFO'!$R:$R,'rehu-vesi-INFO'!$A:$A,'tuot-PVÄ'!B394)</f>
        <v>1728</v>
      </c>
      <c r="AC394" s="224">
        <f>SUMIFS('rehu-vesi-INFO'!$S:$S,'rehu-vesi-INFO'!$A:$A,'tuot-PVÄ'!B394)</f>
        <v>1834</v>
      </c>
      <c r="AD394" s="224">
        <f t="shared" si="116"/>
        <v>106</v>
      </c>
      <c r="AE394" s="224">
        <f t="shared" si="117"/>
        <v>0</v>
      </c>
      <c r="AF394" s="224">
        <f t="shared" si="118"/>
        <v>172.8</v>
      </c>
      <c r="AG394" s="224">
        <f t="shared" si="119"/>
        <v>10.6</v>
      </c>
      <c r="AH394" s="257">
        <f t="shared" si="121"/>
        <v>0</v>
      </c>
      <c r="AI394" s="258">
        <f t="shared" si="122"/>
        <v>0</v>
      </c>
      <c r="AJ394" s="55">
        <f>SUMIFS('tuot-INFO'!W:W,'tuot-INFO'!$A:$A,'tuot-PVÄ'!B394)</f>
        <v>76.260000000000005</v>
      </c>
      <c r="AK394" s="55">
        <f>SUMIFS('tuot-INFO'!X:X,'tuot-INFO'!$A:$A,'tuot-PVÄ'!B394)</f>
        <v>8.1999999999999886</v>
      </c>
    </row>
    <row r="395" spans="1:37" x14ac:dyDescent="0.25">
      <c r="A395" s="169">
        <f t="shared" si="120"/>
        <v>42881</v>
      </c>
      <c r="B395" s="23">
        <f>ROUNDUP((A395-Yleistiedot!$B$4)/7,0)</f>
        <v>73</v>
      </c>
      <c r="C395" s="16"/>
      <c r="D395" s="25"/>
      <c r="E395" s="25"/>
      <c r="F395" s="25"/>
      <c r="G395" s="25"/>
      <c r="H395" s="25"/>
      <c r="I395" s="65">
        <f t="shared" si="115"/>
        <v>0</v>
      </c>
      <c r="J395" s="26"/>
      <c r="K395" s="25"/>
      <c r="L395" s="16"/>
      <c r="M395" s="16"/>
      <c r="N395" s="25"/>
      <c r="O395" s="30"/>
      <c r="P395" s="252">
        <f t="shared" si="110"/>
        <v>9990</v>
      </c>
      <c r="Q395" s="253">
        <f t="shared" si="111"/>
        <v>0</v>
      </c>
      <c r="R395" s="253">
        <f t="shared" si="112"/>
        <v>0</v>
      </c>
      <c r="S395" s="251">
        <f>SUMIFS('tuot-rehukirjanpito'!D:D,'tuot-rehukirjanpito'!A:A,A395)</f>
        <v>0</v>
      </c>
      <c r="T395" s="254">
        <f t="shared" si="123"/>
        <v>1098.9000000000001</v>
      </c>
      <c r="U395" s="254">
        <f t="shared" si="124"/>
        <v>1098.8999999999999</v>
      </c>
      <c r="V395" s="252">
        <f t="shared" si="125"/>
        <v>-431867.70000000263</v>
      </c>
      <c r="W395" s="255">
        <f t="shared" si="126"/>
        <v>-393.00000000000239</v>
      </c>
      <c r="X395" s="256" t="str">
        <f t="shared" si="113"/>
        <v/>
      </c>
      <c r="Y395" s="256" t="str">
        <f t="shared" si="114"/>
        <v/>
      </c>
      <c r="Z395" s="224" t="str">
        <f>IF(IFERROR(INDEX('tuot-rehukirjanpito'!I:I,MATCH(A395,'tuot-rehukirjanpito'!G:G,0)),)=0,"",INDEX('tuot-rehukirjanpito'!I:I,MATCH(A395,'tuot-rehukirjanpito'!G:G,0)))</f>
        <v/>
      </c>
      <c r="AA395" s="224">
        <f>SUMIFS('tuot-INFO'!$K$10:$K$115,'tuot-INFO'!$A$10:$A$115,'tuot-PVÄ'!B395)</f>
        <v>65.900000000000006</v>
      </c>
      <c r="AB395" s="224">
        <f>SUMIFS('rehu-vesi-INFO'!$R:$R,'rehu-vesi-INFO'!$A:$A,'tuot-PVÄ'!B395)</f>
        <v>1728</v>
      </c>
      <c r="AC395" s="224">
        <f>SUMIFS('rehu-vesi-INFO'!$S:$S,'rehu-vesi-INFO'!$A:$A,'tuot-PVÄ'!B395)</f>
        <v>1834</v>
      </c>
      <c r="AD395" s="224">
        <f t="shared" si="116"/>
        <v>106</v>
      </c>
      <c r="AE395" s="224">
        <f t="shared" si="117"/>
        <v>0</v>
      </c>
      <c r="AF395" s="224">
        <f t="shared" si="118"/>
        <v>172.8</v>
      </c>
      <c r="AG395" s="224">
        <f t="shared" si="119"/>
        <v>10.6</v>
      </c>
      <c r="AH395" s="257">
        <f t="shared" si="121"/>
        <v>0</v>
      </c>
      <c r="AI395" s="258">
        <f t="shared" si="122"/>
        <v>0</v>
      </c>
      <c r="AJ395" s="55">
        <f>SUMIFS('tuot-INFO'!W:W,'tuot-INFO'!$A:$A,'tuot-PVÄ'!B395)</f>
        <v>76.260000000000005</v>
      </c>
      <c r="AK395" s="55">
        <f>SUMIFS('tuot-INFO'!X:X,'tuot-INFO'!$A:$A,'tuot-PVÄ'!B395)</f>
        <v>8.1999999999999886</v>
      </c>
    </row>
    <row r="396" spans="1:37" x14ac:dyDescent="0.25">
      <c r="A396" s="169">
        <f t="shared" si="120"/>
        <v>42882</v>
      </c>
      <c r="B396" s="23">
        <f>ROUNDUP((A396-Yleistiedot!$B$4)/7,0)</f>
        <v>74</v>
      </c>
      <c r="C396" s="16"/>
      <c r="D396" s="25"/>
      <c r="E396" s="25"/>
      <c r="F396" s="25"/>
      <c r="G396" s="25"/>
      <c r="H396" s="25"/>
      <c r="I396" s="65">
        <f t="shared" si="115"/>
        <v>0</v>
      </c>
      <c r="J396" s="26"/>
      <c r="K396" s="25"/>
      <c r="L396" s="16"/>
      <c r="M396" s="16"/>
      <c r="N396" s="25"/>
      <c r="O396" s="30"/>
      <c r="P396" s="252">
        <f t="shared" si="110"/>
        <v>9990</v>
      </c>
      <c r="Q396" s="253">
        <f t="shared" si="111"/>
        <v>0</v>
      </c>
      <c r="R396" s="253">
        <f t="shared" si="112"/>
        <v>0</v>
      </c>
      <c r="S396" s="251">
        <f>SUMIFS('tuot-rehukirjanpito'!D:D,'tuot-rehukirjanpito'!A:A,A396)</f>
        <v>0</v>
      </c>
      <c r="T396" s="254">
        <f t="shared" si="123"/>
        <v>1098.9000000000001</v>
      </c>
      <c r="U396" s="254">
        <f t="shared" si="124"/>
        <v>1098.8999999999999</v>
      </c>
      <c r="V396" s="252">
        <f t="shared" si="125"/>
        <v>-432966.60000000265</v>
      </c>
      <c r="W396" s="255">
        <f t="shared" si="126"/>
        <v>-394.00000000000239</v>
      </c>
      <c r="X396" s="256" t="str">
        <f t="shared" si="113"/>
        <v/>
      </c>
      <c r="Y396" s="256" t="str">
        <f t="shared" si="114"/>
        <v/>
      </c>
      <c r="Z396" s="224" t="str">
        <f>IF(IFERROR(INDEX('tuot-rehukirjanpito'!I:I,MATCH(A396,'tuot-rehukirjanpito'!G:G,0)),)=0,"",INDEX('tuot-rehukirjanpito'!I:I,MATCH(A396,'tuot-rehukirjanpito'!G:G,0)))</f>
        <v/>
      </c>
      <c r="AA396" s="224">
        <f>SUMIFS('tuot-INFO'!$K$10:$K$115,'tuot-INFO'!$A$10:$A$115,'tuot-PVÄ'!B396)</f>
        <v>65.900000000000006</v>
      </c>
      <c r="AB396" s="224">
        <f>SUMIFS('rehu-vesi-INFO'!$R:$R,'rehu-vesi-INFO'!$A:$A,'tuot-PVÄ'!B396)</f>
        <v>1729</v>
      </c>
      <c r="AC396" s="224">
        <f>SUMIFS('rehu-vesi-INFO'!$S:$S,'rehu-vesi-INFO'!$A:$A,'tuot-PVÄ'!B396)</f>
        <v>1835</v>
      </c>
      <c r="AD396" s="224">
        <f t="shared" si="116"/>
        <v>106</v>
      </c>
      <c r="AE396" s="224">
        <f t="shared" si="117"/>
        <v>0</v>
      </c>
      <c r="AF396" s="224">
        <f t="shared" si="118"/>
        <v>172.9</v>
      </c>
      <c r="AG396" s="224">
        <f t="shared" si="119"/>
        <v>10.6</v>
      </c>
      <c r="AH396" s="257">
        <f t="shared" si="121"/>
        <v>0</v>
      </c>
      <c r="AI396" s="258">
        <f t="shared" si="122"/>
        <v>0</v>
      </c>
      <c r="AJ396" s="55">
        <f>SUMIFS('tuot-INFO'!W:W,'tuot-INFO'!$A:$A,'tuot-PVÄ'!B396)</f>
        <v>75.701999999999998</v>
      </c>
      <c r="AK396" s="55">
        <f>SUMIFS('tuot-INFO'!X:X,'tuot-INFO'!$A:$A,'tuot-PVÄ'!B396)</f>
        <v>8.1400000000000148</v>
      </c>
    </row>
    <row r="397" spans="1:37" x14ac:dyDescent="0.25">
      <c r="A397" s="169">
        <f t="shared" si="120"/>
        <v>42883</v>
      </c>
      <c r="B397" s="23">
        <f>ROUNDUP((A397-Yleistiedot!$B$4)/7,0)</f>
        <v>74</v>
      </c>
      <c r="C397" s="16"/>
      <c r="D397" s="25"/>
      <c r="E397" s="25"/>
      <c r="F397" s="25"/>
      <c r="G397" s="25"/>
      <c r="H397" s="25"/>
      <c r="I397" s="65">
        <f t="shared" si="115"/>
        <v>0</v>
      </c>
      <c r="J397" s="26"/>
      <c r="K397" s="25"/>
      <c r="L397" s="16"/>
      <c r="M397" s="16"/>
      <c r="N397" s="25"/>
      <c r="O397" s="30"/>
      <c r="P397" s="252">
        <f t="shared" si="110"/>
        <v>9990</v>
      </c>
      <c r="Q397" s="253">
        <f t="shared" si="111"/>
        <v>0</v>
      </c>
      <c r="R397" s="253">
        <f t="shared" si="112"/>
        <v>0</v>
      </c>
      <c r="S397" s="251">
        <f>SUMIFS('tuot-rehukirjanpito'!D:D,'tuot-rehukirjanpito'!A:A,A397)</f>
        <v>0</v>
      </c>
      <c r="T397" s="254">
        <f t="shared" si="123"/>
        <v>1098.9000000000001</v>
      </c>
      <c r="U397" s="254">
        <f t="shared" si="124"/>
        <v>1098.8999999999999</v>
      </c>
      <c r="V397" s="252">
        <f t="shared" si="125"/>
        <v>-434065.50000000268</v>
      </c>
      <c r="W397" s="255">
        <f t="shared" si="126"/>
        <v>-395.00000000000239</v>
      </c>
      <c r="X397" s="256" t="str">
        <f t="shared" si="113"/>
        <v/>
      </c>
      <c r="Y397" s="256" t="str">
        <f t="shared" si="114"/>
        <v/>
      </c>
      <c r="Z397" s="224" t="str">
        <f>IF(IFERROR(INDEX('tuot-rehukirjanpito'!I:I,MATCH(A397,'tuot-rehukirjanpito'!G:G,0)),)=0,"",INDEX('tuot-rehukirjanpito'!I:I,MATCH(A397,'tuot-rehukirjanpito'!G:G,0)))</f>
        <v/>
      </c>
      <c r="AA397" s="224">
        <f>SUMIFS('tuot-INFO'!$K$10:$K$115,'tuot-INFO'!$A$10:$A$115,'tuot-PVÄ'!B397)</f>
        <v>65.900000000000006</v>
      </c>
      <c r="AB397" s="224">
        <f>SUMIFS('rehu-vesi-INFO'!$R:$R,'rehu-vesi-INFO'!$A:$A,'tuot-PVÄ'!B397)</f>
        <v>1729</v>
      </c>
      <c r="AC397" s="224">
        <f>SUMIFS('rehu-vesi-INFO'!$S:$S,'rehu-vesi-INFO'!$A:$A,'tuot-PVÄ'!B397)</f>
        <v>1835</v>
      </c>
      <c r="AD397" s="224">
        <f t="shared" si="116"/>
        <v>106</v>
      </c>
      <c r="AE397" s="224">
        <f t="shared" si="117"/>
        <v>0</v>
      </c>
      <c r="AF397" s="224">
        <f t="shared" si="118"/>
        <v>172.9</v>
      </c>
      <c r="AG397" s="224">
        <f t="shared" si="119"/>
        <v>10.6</v>
      </c>
      <c r="AH397" s="257">
        <f t="shared" si="121"/>
        <v>0</v>
      </c>
      <c r="AI397" s="258">
        <f t="shared" si="122"/>
        <v>0</v>
      </c>
      <c r="AJ397" s="55">
        <f>SUMIFS('tuot-INFO'!W:W,'tuot-INFO'!$A:$A,'tuot-PVÄ'!B397)</f>
        <v>75.701999999999998</v>
      </c>
      <c r="AK397" s="55">
        <f>SUMIFS('tuot-INFO'!X:X,'tuot-INFO'!$A:$A,'tuot-PVÄ'!B397)</f>
        <v>8.1400000000000148</v>
      </c>
    </row>
    <row r="398" spans="1:37" x14ac:dyDescent="0.25">
      <c r="A398" s="169">
        <f t="shared" si="120"/>
        <v>42884</v>
      </c>
      <c r="B398" s="23">
        <f>ROUNDUP((A398-Yleistiedot!$B$4)/7,0)</f>
        <v>74</v>
      </c>
      <c r="C398" s="16"/>
      <c r="D398" s="25"/>
      <c r="E398" s="25"/>
      <c r="F398" s="25"/>
      <c r="G398" s="25"/>
      <c r="H398" s="25"/>
      <c r="I398" s="65">
        <f t="shared" si="115"/>
        <v>0</v>
      </c>
      <c r="J398" s="26"/>
      <c r="K398" s="25"/>
      <c r="L398" s="16"/>
      <c r="M398" s="16"/>
      <c r="N398" s="25"/>
      <c r="O398" s="30"/>
      <c r="P398" s="252">
        <f t="shared" si="110"/>
        <v>9990</v>
      </c>
      <c r="Q398" s="253">
        <f t="shared" si="111"/>
        <v>0</v>
      </c>
      <c r="R398" s="253">
        <f t="shared" si="112"/>
        <v>0</v>
      </c>
      <c r="S398" s="251">
        <f>SUMIFS('tuot-rehukirjanpito'!D:D,'tuot-rehukirjanpito'!A:A,A398)</f>
        <v>0</v>
      </c>
      <c r="T398" s="254">
        <f t="shared" si="123"/>
        <v>1098.9000000000001</v>
      </c>
      <c r="U398" s="254">
        <f t="shared" si="124"/>
        <v>1098.8999999999999</v>
      </c>
      <c r="V398" s="252">
        <f t="shared" si="125"/>
        <v>-435164.4000000027</v>
      </c>
      <c r="W398" s="255">
        <f t="shared" si="126"/>
        <v>-396.00000000000244</v>
      </c>
      <c r="X398" s="256" t="str">
        <f t="shared" si="113"/>
        <v/>
      </c>
      <c r="Y398" s="256" t="str">
        <f t="shared" si="114"/>
        <v/>
      </c>
      <c r="Z398" s="224" t="str">
        <f>IF(IFERROR(INDEX('tuot-rehukirjanpito'!I:I,MATCH(A398,'tuot-rehukirjanpito'!G:G,0)),)=0,"",INDEX('tuot-rehukirjanpito'!I:I,MATCH(A398,'tuot-rehukirjanpito'!G:G,0)))</f>
        <v/>
      </c>
      <c r="AA398" s="224">
        <f>SUMIFS('tuot-INFO'!$K$10:$K$115,'tuot-INFO'!$A$10:$A$115,'tuot-PVÄ'!B398)</f>
        <v>65.900000000000006</v>
      </c>
      <c r="AB398" s="224">
        <f>SUMIFS('rehu-vesi-INFO'!$R:$R,'rehu-vesi-INFO'!$A:$A,'tuot-PVÄ'!B398)</f>
        <v>1729</v>
      </c>
      <c r="AC398" s="224">
        <f>SUMIFS('rehu-vesi-INFO'!$S:$S,'rehu-vesi-INFO'!$A:$A,'tuot-PVÄ'!B398)</f>
        <v>1835</v>
      </c>
      <c r="AD398" s="224">
        <f t="shared" si="116"/>
        <v>106</v>
      </c>
      <c r="AE398" s="224">
        <f t="shared" si="117"/>
        <v>0</v>
      </c>
      <c r="AF398" s="224">
        <f t="shared" si="118"/>
        <v>172.9</v>
      </c>
      <c r="AG398" s="224">
        <f t="shared" si="119"/>
        <v>10.6</v>
      </c>
      <c r="AH398" s="257">
        <f t="shared" si="121"/>
        <v>0</v>
      </c>
      <c r="AI398" s="258">
        <f t="shared" si="122"/>
        <v>0</v>
      </c>
      <c r="AJ398" s="55">
        <f>SUMIFS('tuot-INFO'!W:W,'tuot-INFO'!$A:$A,'tuot-PVÄ'!B398)</f>
        <v>75.701999999999998</v>
      </c>
      <c r="AK398" s="55">
        <f>SUMIFS('tuot-INFO'!X:X,'tuot-INFO'!$A:$A,'tuot-PVÄ'!B398)</f>
        <v>8.1400000000000148</v>
      </c>
    </row>
    <row r="399" spans="1:37" x14ac:dyDescent="0.25">
      <c r="A399" s="169">
        <f t="shared" si="120"/>
        <v>42885</v>
      </c>
      <c r="B399" s="23">
        <f>ROUNDUP((A399-Yleistiedot!$B$4)/7,0)</f>
        <v>74</v>
      </c>
      <c r="C399" s="16"/>
      <c r="D399" s="25"/>
      <c r="E399" s="25"/>
      <c r="F399" s="25"/>
      <c r="G399" s="25"/>
      <c r="H399" s="25"/>
      <c r="I399" s="65">
        <f t="shared" si="115"/>
        <v>0</v>
      </c>
      <c r="J399" s="26"/>
      <c r="K399" s="25"/>
      <c r="L399" s="16"/>
      <c r="M399" s="16"/>
      <c r="N399" s="25"/>
      <c r="O399" s="30"/>
      <c r="P399" s="252">
        <f t="shared" si="110"/>
        <v>9990</v>
      </c>
      <c r="Q399" s="253">
        <f t="shared" si="111"/>
        <v>0</v>
      </c>
      <c r="R399" s="253">
        <f t="shared" si="112"/>
        <v>0</v>
      </c>
      <c r="S399" s="251">
        <f>SUMIFS('tuot-rehukirjanpito'!D:D,'tuot-rehukirjanpito'!A:A,A399)</f>
        <v>0</v>
      </c>
      <c r="T399" s="254">
        <f t="shared" si="123"/>
        <v>1098.9000000000001</v>
      </c>
      <c r="U399" s="254">
        <f t="shared" si="124"/>
        <v>1098.8999999999999</v>
      </c>
      <c r="V399" s="252">
        <f t="shared" si="125"/>
        <v>-436263.30000000272</v>
      </c>
      <c r="W399" s="255">
        <f t="shared" si="126"/>
        <v>-397.00000000000244</v>
      </c>
      <c r="X399" s="256" t="str">
        <f t="shared" si="113"/>
        <v/>
      </c>
      <c r="Y399" s="256" t="str">
        <f t="shared" si="114"/>
        <v/>
      </c>
      <c r="Z399" s="224" t="str">
        <f>IF(IFERROR(INDEX('tuot-rehukirjanpito'!I:I,MATCH(A399,'tuot-rehukirjanpito'!G:G,0)),)=0,"",INDEX('tuot-rehukirjanpito'!I:I,MATCH(A399,'tuot-rehukirjanpito'!G:G,0)))</f>
        <v/>
      </c>
      <c r="AA399" s="224">
        <f>SUMIFS('tuot-INFO'!$K$10:$K$115,'tuot-INFO'!$A$10:$A$115,'tuot-PVÄ'!B399)</f>
        <v>65.900000000000006</v>
      </c>
      <c r="AB399" s="224">
        <f>SUMIFS('rehu-vesi-INFO'!$R:$R,'rehu-vesi-INFO'!$A:$A,'tuot-PVÄ'!B399)</f>
        <v>1729</v>
      </c>
      <c r="AC399" s="224">
        <f>SUMIFS('rehu-vesi-INFO'!$S:$S,'rehu-vesi-INFO'!$A:$A,'tuot-PVÄ'!B399)</f>
        <v>1835</v>
      </c>
      <c r="AD399" s="224">
        <f t="shared" si="116"/>
        <v>106</v>
      </c>
      <c r="AE399" s="224">
        <f t="shared" si="117"/>
        <v>0</v>
      </c>
      <c r="AF399" s="224">
        <f t="shared" si="118"/>
        <v>172.9</v>
      </c>
      <c r="AG399" s="224">
        <f t="shared" si="119"/>
        <v>10.6</v>
      </c>
      <c r="AH399" s="257">
        <f t="shared" si="121"/>
        <v>0</v>
      </c>
      <c r="AI399" s="258">
        <f t="shared" si="122"/>
        <v>0</v>
      </c>
      <c r="AJ399" s="55">
        <f>SUMIFS('tuot-INFO'!W:W,'tuot-INFO'!$A:$A,'tuot-PVÄ'!B399)</f>
        <v>75.701999999999998</v>
      </c>
      <c r="AK399" s="55">
        <f>SUMIFS('tuot-INFO'!X:X,'tuot-INFO'!$A:$A,'tuot-PVÄ'!B399)</f>
        <v>8.1400000000000148</v>
      </c>
    </row>
    <row r="400" spans="1:37" x14ac:dyDescent="0.25">
      <c r="A400" s="169">
        <f t="shared" si="120"/>
        <v>42886</v>
      </c>
      <c r="B400" s="23">
        <f>ROUNDUP((A400-Yleistiedot!$B$4)/7,0)</f>
        <v>74</v>
      </c>
      <c r="C400" s="16"/>
      <c r="D400" s="25"/>
      <c r="E400" s="25"/>
      <c r="F400" s="25"/>
      <c r="G400" s="25"/>
      <c r="H400" s="25"/>
      <c r="I400" s="65">
        <f t="shared" si="115"/>
        <v>0</v>
      </c>
      <c r="J400" s="26"/>
      <c r="K400" s="25"/>
      <c r="L400" s="16"/>
      <c r="M400" s="16"/>
      <c r="N400" s="25"/>
      <c r="O400" s="30"/>
      <c r="P400" s="252">
        <f t="shared" si="110"/>
        <v>9990</v>
      </c>
      <c r="Q400" s="253">
        <f t="shared" si="111"/>
        <v>0</v>
      </c>
      <c r="R400" s="253">
        <f t="shared" si="112"/>
        <v>0</v>
      </c>
      <c r="S400" s="251">
        <f>SUMIFS('tuot-rehukirjanpito'!D:D,'tuot-rehukirjanpito'!A:A,A400)</f>
        <v>0</v>
      </c>
      <c r="T400" s="254">
        <f t="shared" si="123"/>
        <v>1098.9000000000001</v>
      </c>
      <c r="U400" s="254">
        <f t="shared" si="124"/>
        <v>1098.8999999999999</v>
      </c>
      <c r="V400" s="252">
        <f t="shared" si="125"/>
        <v>-437362.20000000275</v>
      </c>
      <c r="W400" s="255">
        <f t="shared" si="126"/>
        <v>-398.00000000000244</v>
      </c>
      <c r="X400" s="256" t="str">
        <f t="shared" si="113"/>
        <v/>
      </c>
      <c r="Y400" s="256" t="str">
        <f t="shared" si="114"/>
        <v/>
      </c>
      <c r="Z400" s="224" t="str">
        <f>IF(IFERROR(INDEX('tuot-rehukirjanpito'!I:I,MATCH(A400,'tuot-rehukirjanpito'!G:G,0)),)=0,"",INDEX('tuot-rehukirjanpito'!I:I,MATCH(A400,'tuot-rehukirjanpito'!G:G,0)))</f>
        <v/>
      </c>
      <c r="AA400" s="224">
        <f>SUMIFS('tuot-INFO'!$K$10:$K$115,'tuot-INFO'!$A$10:$A$115,'tuot-PVÄ'!B400)</f>
        <v>65.900000000000006</v>
      </c>
      <c r="AB400" s="224">
        <f>SUMIFS('rehu-vesi-INFO'!$R:$R,'rehu-vesi-INFO'!$A:$A,'tuot-PVÄ'!B400)</f>
        <v>1729</v>
      </c>
      <c r="AC400" s="224">
        <f>SUMIFS('rehu-vesi-INFO'!$S:$S,'rehu-vesi-INFO'!$A:$A,'tuot-PVÄ'!B400)</f>
        <v>1835</v>
      </c>
      <c r="AD400" s="224">
        <f t="shared" si="116"/>
        <v>106</v>
      </c>
      <c r="AE400" s="224">
        <f t="shared" si="117"/>
        <v>0</v>
      </c>
      <c r="AF400" s="224">
        <f t="shared" si="118"/>
        <v>172.9</v>
      </c>
      <c r="AG400" s="224">
        <f t="shared" si="119"/>
        <v>10.6</v>
      </c>
      <c r="AH400" s="257">
        <f t="shared" si="121"/>
        <v>0</v>
      </c>
      <c r="AI400" s="258">
        <f t="shared" si="122"/>
        <v>0</v>
      </c>
      <c r="AJ400" s="55">
        <f>SUMIFS('tuot-INFO'!W:W,'tuot-INFO'!$A:$A,'tuot-PVÄ'!B400)</f>
        <v>75.701999999999998</v>
      </c>
      <c r="AK400" s="55">
        <f>SUMIFS('tuot-INFO'!X:X,'tuot-INFO'!$A:$A,'tuot-PVÄ'!B400)</f>
        <v>8.1400000000000148</v>
      </c>
    </row>
    <row r="401" spans="1:37" x14ac:dyDescent="0.25">
      <c r="A401" s="169">
        <f t="shared" si="120"/>
        <v>42887</v>
      </c>
      <c r="B401" s="23">
        <f>ROUNDUP((A401-Yleistiedot!$B$4)/7,0)</f>
        <v>74</v>
      </c>
      <c r="C401" s="16"/>
      <c r="D401" s="25"/>
      <c r="E401" s="25"/>
      <c r="F401" s="25"/>
      <c r="G401" s="25"/>
      <c r="H401" s="25"/>
      <c r="I401" s="65">
        <f t="shared" si="115"/>
        <v>0</v>
      </c>
      <c r="J401" s="26"/>
      <c r="K401" s="25"/>
      <c r="L401" s="16"/>
      <c r="M401" s="16"/>
      <c r="N401" s="25"/>
      <c r="O401" s="30"/>
      <c r="P401" s="252">
        <f t="shared" si="110"/>
        <v>9990</v>
      </c>
      <c r="Q401" s="253">
        <f t="shared" si="111"/>
        <v>0</v>
      </c>
      <c r="R401" s="253">
        <f t="shared" si="112"/>
        <v>0</v>
      </c>
      <c r="S401" s="251">
        <f>SUMIFS('tuot-rehukirjanpito'!D:D,'tuot-rehukirjanpito'!A:A,A401)</f>
        <v>0</v>
      </c>
      <c r="T401" s="254">
        <f t="shared" si="123"/>
        <v>1098.9000000000001</v>
      </c>
      <c r="U401" s="254">
        <f t="shared" si="124"/>
        <v>1098.8999999999999</v>
      </c>
      <c r="V401" s="252">
        <f t="shared" si="125"/>
        <v>-438461.10000000277</v>
      </c>
      <c r="W401" s="255">
        <f t="shared" si="126"/>
        <v>-399.0000000000025</v>
      </c>
      <c r="X401" s="256" t="str">
        <f t="shared" si="113"/>
        <v/>
      </c>
      <c r="Y401" s="256" t="str">
        <f t="shared" si="114"/>
        <v/>
      </c>
      <c r="Z401" s="224" t="str">
        <f>IF(IFERROR(INDEX('tuot-rehukirjanpito'!I:I,MATCH(A401,'tuot-rehukirjanpito'!G:G,0)),)=0,"",INDEX('tuot-rehukirjanpito'!I:I,MATCH(A401,'tuot-rehukirjanpito'!G:G,0)))</f>
        <v/>
      </c>
      <c r="AA401" s="224">
        <f>SUMIFS('tuot-INFO'!$K$10:$K$115,'tuot-INFO'!$A$10:$A$115,'tuot-PVÄ'!B401)</f>
        <v>65.900000000000006</v>
      </c>
      <c r="AB401" s="224">
        <f>SUMIFS('rehu-vesi-INFO'!$R:$R,'rehu-vesi-INFO'!$A:$A,'tuot-PVÄ'!B401)</f>
        <v>1729</v>
      </c>
      <c r="AC401" s="224">
        <f>SUMIFS('rehu-vesi-INFO'!$S:$S,'rehu-vesi-INFO'!$A:$A,'tuot-PVÄ'!B401)</f>
        <v>1835</v>
      </c>
      <c r="AD401" s="224">
        <f t="shared" si="116"/>
        <v>106</v>
      </c>
      <c r="AE401" s="224">
        <f t="shared" si="117"/>
        <v>0</v>
      </c>
      <c r="AF401" s="224">
        <f t="shared" si="118"/>
        <v>172.9</v>
      </c>
      <c r="AG401" s="224">
        <f t="shared" si="119"/>
        <v>10.6</v>
      </c>
      <c r="AH401" s="257">
        <f t="shared" si="121"/>
        <v>0</v>
      </c>
      <c r="AI401" s="258">
        <f t="shared" si="122"/>
        <v>0</v>
      </c>
      <c r="AJ401" s="55">
        <f>SUMIFS('tuot-INFO'!W:W,'tuot-INFO'!$A:$A,'tuot-PVÄ'!B401)</f>
        <v>75.701999999999998</v>
      </c>
      <c r="AK401" s="55">
        <f>SUMIFS('tuot-INFO'!X:X,'tuot-INFO'!$A:$A,'tuot-PVÄ'!B401)</f>
        <v>8.1400000000000148</v>
      </c>
    </row>
    <row r="402" spans="1:37" x14ac:dyDescent="0.25">
      <c r="A402" s="169">
        <f t="shared" si="120"/>
        <v>42888</v>
      </c>
      <c r="B402" s="23">
        <f>ROUNDUP((A402-Yleistiedot!$B$4)/7,0)</f>
        <v>74</v>
      </c>
      <c r="C402" s="16"/>
      <c r="D402" s="25"/>
      <c r="E402" s="25"/>
      <c r="F402" s="25"/>
      <c r="G402" s="25"/>
      <c r="H402" s="25"/>
      <c r="I402" s="65">
        <f t="shared" si="115"/>
        <v>0</v>
      </c>
      <c r="J402" s="26"/>
      <c r="K402" s="25"/>
      <c r="L402" s="16"/>
      <c r="M402" s="16"/>
      <c r="N402" s="25"/>
      <c r="O402" s="30"/>
      <c r="P402" s="252">
        <f t="shared" si="110"/>
        <v>9990</v>
      </c>
      <c r="Q402" s="253">
        <f t="shared" si="111"/>
        <v>0</v>
      </c>
      <c r="R402" s="253">
        <f t="shared" si="112"/>
        <v>0</v>
      </c>
      <c r="S402" s="251">
        <f>SUMIFS('tuot-rehukirjanpito'!D:D,'tuot-rehukirjanpito'!A:A,A402)</f>
        <v>0</v>
      </c>
      <c r="T402" s="254">
        <f t="shared" si="123"/>
        <v>1098.9000000000001</v>
      </c>
      <c r="U402" s="254">
        <f t="shared" si="124"/>
        <v>1098.8999999999999</v>
      </c>
      <c r="V402" s="252">
        <f t="shared" si="125"/>
        <v>-439560.00000000279</v>
      </c>
      <c r="W402" s="255">
        <f t="shared" si="126"/>
        <v>-400.0000000000025</v>
      </c>
      <c r="X402" s="256" t="str">
        <f t="shared" si="113"/>
        <v/>
      </c>
      <c r="Y402" s="256" t="str">
        <f t="shared" si="114"/>
        <v/>
      </c>
      <c r="Z402" s="224" t="str">
        <f>IF(IFERROR(INDEX('tuot-rehukirjanpito'!I:I,MATCH(A402,'tuot-rehukirjanpito'!G:G,0)),)=0,"",INDEX('tuot-rehukirjanpito'!I:I,MATCH(A402,'tuot-rehukirjanpito'!G:G,0)))</f>
        <v/>
      </c>
      <c r="AA402" s="224">
        <f>SUMIFS('tuot-INFO'!$K$10:$K$115,'tuot-INFO'!$A$10:$A$115,'tuot-PVÄ'!B402)</f>
        <v>65.900000000000006</v>
      </c>
      <c r="AB402" s="224">
        <f>SUMIFS('rehu-vesi-INFO'!$R:$R,'rehu-vesi-INFO'!$A:$A,'tuot-PVÄ'!B402)</f>
        <v>1729</v>
      </c>
      <c r="AC402" s="224">
        <f>SUMIFS('rehu-vesi-INFO'!$S:$S,'rehu-vesi-INFO'!$A:$A,'tuot-PVÄ'!B402)</f>
        <v>1835</v>
      </c>
      <c r="AD402" s="224">
        <f t="shared" si="116"/>
        <v>106</v>
      </c>
      <c r="AE402" s="224">
        <f t="shared" si="117"/>
        <v>0</v>
      </c>
      <c r="AF402" s="224">
        <f t="shared" si="118"/>
        <v>172.9</v>
      </c>
      <c r="AG402" s="224">
        <f t="shared" si="119"/>
        <v>10.6</v>
      </c>
      <c r="AH402" s="257">
        <f t="shared" si="121"/>
        <v>0</v>
      </c>
      <c r="AI402" s="258">
        <f t="shared" si="122"/>
        <v>0</v>
      </c>
      <c r="AJ402" s="55">
        <f>SUMIFS('tuot-INFO'!W:W,'tuot-INFO'!$A:$A,'tuot-PVÄ'!B402)</f>
        <v>75.701999999999998</v>
      </c>
      <c r="AK402" s="55">
        <f>SUMIFS('tuot-INFO'!X:X,'tuot-INFO'!$A:$A,'tuot-PVÄ'!B402)</f>
        <v>8.1400000000000148</v>
      </c>
    </row>
    <row r="403" spans="1:37" x14ac:dyDescent="0.25">
      <c r="A403" s="169">
        <f t="shared" si="120"/>
        <v>42889</v>
      </c>
      <c r="B403" s="23">
        <f>ROUNDUP((A403-Yleistiedot!$B$4)/7,0)</f>
        <v>75</v>
      </c>
      <c r="C403" s="16"/>
      <c r="D403" s="25"/>
      <c r="E403" s="25"/>
      <c r="F403" s="25"/>
      <c r="G403" s="25"/>
      <c r="H403" s="25"/>
      <c r="I403" s="65">
        <f t="shared" si="115"/>
        <v>0</v>
      </c>
      <c r="J403" s="26"/>
      <c r="K403" s="25"/>
      <c r="L403" s="16"/>
      <c r="M403" s="16"/>
      <c r="N403" s="25"/>
      <c r="O403" s="30"/>
      <c r="P403" s="252">
        <f t="shared" ref="P403:P466" si="127">P402-C403</f>
        <v>9990</v>
      </c>
      <c r="Q403" s="253">
        <f t="shared" ref="Q403:Q466" si="128">D403/P403*100</f>
        <v>0</v>
      </c>
      <c r="R403" s="253">
        <f t="shared" ref="R403:R466" si="129">I403/P403*100</f>
        <v>0</v>
      </c>
      <c r="S403" s="251">
        <f>SUMIFS('tuot-rehukirjanpito'!D:D,'tuot-rehukirjanpito'!A:A,A403)</f>
        <v>0</v>
      </c>
      <c r="T403" s="254">
        <f t="shared" si="123"/>
        <v>1098.9000000000001</v>
      </c>
      <c r="U403" s="254">
        <f t="shared" si="124"/>
        <v>1098.8999999999999</v>
      </c>
      <c r="V403" s="252">
        <f t="shared" si="125"/>
        <v>-440658.90000000282</v>
      </c>
      <c r="W403" s="255">
        <f t="shared" si="126"/>
        <v>-401.00000000000256</v>
      </c>
      <c r="X403" s="256" t="str">
        <f t="shared" si="113"/>
        <v/>
      </c>
      <c r="Y403" s="256" t="str">
        <f t="shared" si="114"/>
        <v/>
      </c>
      <c r="Z403" s="224" t="str">
        <f>IF(IFERROR(INDEX('tuot-rehukirjanpito'!I:I,MATCH(A403,'tuot-rehukirjanpito'!G:G,0)),)=0,"",INDEX('tuot-rehukirjanpito'!I:I,MATCH(A403,'tuot-rehukirjanpito'!G:G,0)))</f>
        <v/>
      </c>
      <c r="AA403" s="224">
        <f>SUMIFS('tuot-INFO'!$K$10:$K$115,'tuot-INFO'!$A$10:$A$115,'tuot-PVÄ'!B403)</f>
        <v>65.900000000000006</v>
      </c>
      <c r="AB403" s="224">
        <f>SUMIFS('rehu-vesi-INFO'!$R:$R,'rehu-vesi-INFO'!$A:$A,'tuot-PVÄ'!B403)</f>
        <v>1730</v>
      </c>
      <c r="AC403" s="224">
        <f>SUMIFS('rehu-vesi-INFO'!$S:$S,'rehu-vesi-INFO'!$A:$A,'tuot-PVÄ'!B403)</f>
        <v>1836</v>
      </c>
      <c r="AD403" s="224">
        <f t="shared" si="116"/>
        <v>106</v>
      </c>
      <c r="AE403" s="224">
        <f t="shared" si="117"/>
        <v>0</v>
      </c>
      <c r="AF403" s="224">
        <f t="shared" si="118"/>
        <v>173</v>
      </c>
      <c r="AG403" s="224">
        <f t="shared" si="119"/>
        <v>10.6</v>
      </c>
      <c r="AH403" s="257">
        <f t="shared" si="121"/>
        <v>0</v>
      </c>
      <c r="AI403" s="258">
        <f t="shared" si="122"/>
        <v>0</v>
      </c>
      <c r="AJ403" s="55">
        <f>SUMIFS('tuot-INFO'!W:W,'tuot-INFO'!$A:$A,'tuot-PVÄ'!B403)</f>
        <v>75.143999999999991</v>
      </c>
      <c r="AK403" s="55">
        <f>SUMIFS('tuot-INFO'!X:X,'tuot-INFO'!$A:$A,'tuot-PVÄ'!B403)</f>
        <v>8.0800000000000125</v>
      </c>
    </row>
    <row r="404" spans="1:37" x14ac:dyDescent="0.25">
      <c r="A404" s="169">
        <f t="shared" si="120"/>
        <v>42890</v>
      </c>
      <c r="B404" s="23">
        <f>ROUNDUP((A404-Yleistiedot!$B$4)/7,0)</f>
        <v>75</v>
      </c>
      <c r="C404" s="16"/>
      <c r="D404" s="25"/>
      <c r="E404" s="25"/>
      <c r="F404" s="25"/>
      <c r="G404" s="25"/>
      <c r="H404" s="25"/>
      <c r="I404" s="65">
        <f t="shared" si="115"/>
        <v>0</v>
      </c>
      <c r="J404" s="26"/>
      <c r="K404" s="25"/>
      <c r="L404" s="16"/>
      <c r="M404" s="16"/>
      <c r="N404" s="25"/>
      <c r="O404" s="30"/>
      <c r="P404" s="252">
        <f t="shared" si="127"/>
        <v>9990</v>
      </c>
      <c r="Q404" s="253">
        <f t="shared" si="128"/>
        <v>0</v>
      </c>
      <c r="R404" s="253">
        <f t="shared" si="129"/>
        <v>0</v>
      </c>
      <c r="S404" s="251">
        <f>SUMIFS('tuot-rehukirjanpito'!D:D,'tuot-rehukirjanpito'!A:A,A404)</f>
        <v>0</v>
      </c>
      <c r="T404" s="254">
        <f t="shared" si="123"/>
        <v>1098.9000000000001</v>
      </c>
      <c r="U404" s="254">
        <f t="shared" si="124"/>
        <v>1098.8999999999999</v>
      </c>
      <c r="V404" s="252">
        <f t="shared" si="125"/>
        <v>-441757.80000000284</v>
      </c>
      <c r="W404" s="255">
        <f t="shared" si="126"/>
        <v>-402.00000000000256</v>
      </c>
      <c r="X404" s="256" t="str">
        <f t="shared" si="113"/>
        <v/>
      </c>
      <c r="Y404" s="256" t="str">
        <f t="shared" si="114"/>
        <v/>
      </c>
      <c r="Z404" s="224" t="str">
        <f>IF(IFERROR(INDEX('tuot-rehukirjanpito'!I:I,MATCH(A404,'tuot-rehukirjanpito'!G:G,0)),)=0,"",INDEX('tuot-rehukirjanpito'!I:I,MATCH(A404,'tuot-rehukirjanpito'!G:G,0)))</f>
        <v/>
      </c>
      <c r="AA404" s="224">
        <f>SUMIFS('tuot-INFO'!$K$10:$K$115,'tuot-INFO'!$A$10:$A$115,'tuot-PVÄ'!B404)</f>
        <v>65.900000000000006</v>
      </c>
      <c r="AB404" s="224">
        <f>SUMIFS('rehu-vesi-INFO'!$R:$R,'rehu-vesi-INFO'!$A:$A,'tuot-PVÄ'!B404)</f>
        <v>1730</v>
      </c>
      <c r="AC404" s="224">
        <f>SUMIFS('rehu-vesi-INFO'!$S:$S,'rehu-vesi-INFO'!$A:$A,'tuot-PVÄ'!B404)</f>
        <v>1836</v>
      </c>
      <c r="AD404" s="224">
        <f t="shared" si="116"/>
        <v>106</v>
      </c>
      <c r="AE404" s="224">
        <f t="shared" si="117"/>
        <v>0</v>
      </c>
      <c r="AF404" s="224">
        <f t="shared" si="118"/>
        <v>173</v>
      </c>
      <c r="AG404" s="224">
        <f t="shared" si="119"/>
        <v>10.6</v>
      </c>
      <c r="AH404" s="257">
        <f t="shared" si="121"/>
        <v>0</v>
      </c>
      <c r="AI404" s="258">
        <f t="shared" si="122"/>
        <v>0</v>
      </c>
      <c r="AJ404" s="55">
        <f>SUMIFS('tuot-INFO'!W:W,'tuot-INFO'!$A:$A,'tuot-PVÄ'!B404)</f>
        <v>75.143999999999991</v>
      </c>
      <c r="AK404" s="55">
        <f>SUMIFS('tuot-INFO'!X:X,'tuot-INFO'!$A:$A,'tuot-PVÄ'!B404)</f>
        <v>8.0800000000000125</v>
      </c>
    </row>
    <row r="405" spans="1:37" x14ac:dyDescent="0.25">
      <c r="A405" s="169">
        <f t="shared" si="120"/>
        <v>42891</v>
      </c>
      <c r="B405" s="23">
        <f>ROUNDUP((A405-Yleistiedot!$B$4)/7,0)</f>
        <v>75</v>
      </c>
      <c r="C405" s="16"/>
      <c r="D405" s="25"/>
      <c r="E405" s="25"/>
      <c r="F405" s="25"/>
      <c r="G405" s="25"/>
      <c r="H405" s="25"/>
      <c r="I405" s="65">
        <f t="shared" si="115"/>
        <v>0</v>
      </c>
      <c r="J405" s="26"/>
      <c r="K405" s="25"/>
      <c r="L405" s="16"/>
      <c r="M405" s="16"/>
      <c r="N405" s="25"/>
      <c r="O405" s="30"/>
      <c r="P405" s="252">
        <f t="shared" si="127"/>
        <v>9990</v>
      </c>
      <c r="Q405" s="253">
        <f t="shared" si="128"/>
        <v>0</v>
      </c>
      <c r="R405" s="253">
        <f t="shared" si="129"/>
        <v>0</v>
      </c>
      <c r="S405" s="251">
        <f>SUMIFS('tuot-rehukirjanpito'!D:D,'tuot-rehukirjanpito'!A:A,A405)</f>
        <v>0</v>
      </c>
      <c r="T405" s="254">
        <f t="shared" si="123"/>
        <v>1098.9000000000001</v>
      </c>
      <c r="U405" s="254">
        <f t="shared" si="124"/>
        <v>1098.8999999999999</v>
      </c>
      <c r="V405" s="252">
        <f t="shared" si="125"/>
        <v>-442856.70000000286</v>
      </c>
      <c r="W405" s="255">
        <f t="shared" si="126"/>
        <v>-403.00000000000256</v>
      </c>
      <c r="X405" s="256" t="str">
        <f t="shared" si="113"/>
        <v/>
      </c>
      <c r="Y405" s="256" t="str">
        <f t="shared" si="114"/>
        <v/>
      </c>
      <c r="Z405" s="224" t="str">
        <f>IF(IFERROR(INDEX('tuot-rehukirjanpito'!I:I,MATCH(A405,'tuot-rehukirjanpito'!G:G,0)),)=0,"",INDEX('tuot-rehukirjanpito'!I:I,MATCH(A405,'tuot-rehukirjanpito'!G:G,0)))</f>
        <v/>
      </c>
      <c r="AA405" s="224">
        <f>SUMIFS('tuot-INFO'!$K$10:$K$115,'tuot-INFO'!$A$10:$A$115,'tuot-PVÄ'!B405)</f>
        <v>65.900000000000006</v>
      </c>
      <c r="AB405" s="224">
        <f>SUMIFS('rehu-vesi-INFO'!$R:$R,'rehu-vesi-INFO'!$A:$A,'tuot-PVÄ'!B405)</f>
        <v>1730</v>
      </c>
      <c r="AC405" s="224">
        <f>SUMIFS('rehu-vesi-INFO'!$S:$S,'rehu-vesi-INFO'!$A:$A,'tuot-PVÄ'!B405)</f>
        <v>1836</v>
      </c>
      <c r="AD405" s="224">
        <f t="shared" si="116"/>
        <v>106</v>
      </c>
      <c r="AE405" s="224">
        <f t="shared" si="117"/>
        <v>0</v>
      </c>
      <c r="AF405" s="224">
        <f t="shared" si="118"/>
        <v>173</v>
      </c>
      <c r="AG405" s="224">
        <f t="shared" si="119"/>
        <v>10.6</v>
      </c>
      <c r="AH405" s="257">
        <f t="shared" si="121"/>
        <v>0</v>
      </c>
      <c r="AI405" s="258">
        <f t="shared" si="122"/>
        <v>0</v>
      </c>
      <c r="AJ405" s="55">
        <f>SUMIFS('tuot-INFO'!W:W,'tuot-INFO'!$A:$A,'tuot-PVÄ'!B405)</f>
        <v>75.143999999999991</v>
      </c>
      <c r="AK405" s="55">
        <f>SUMIFS('tuot-INFO'!X:X,'tuot-INFO'!$A:$A,'tuot-PVÄ'!B405)</f>
        <v>8.0800000000000125</v>
      </c>
    </row>
    <row r="406" spans="1:37" x14ac:dyDescent="0.25">
      <c r="A406" s="169">
        <f t="shared" si="120"/>
        <v>42892</v>
      </c>
      <c r="B406" s="23">
        <f>ROUNDUP((A406-Yleistiedot!$B$4)/7,0)</f>
        <v>75</v>
      </c>
      <c r="C406" s="16"/>
      <c r="D406" s="25"/>
      <c r="E406" s="25"/>
      <c r="F406" s="25"/>
      <c r="G406" s="25"/>
      <c r="H406" s="25"/>
      <c r="I406" s="65">
        <f t="shared" si="115"/>
        <v>0</v>
      </c>
      <c r="J406" s="26"/>
      <c r="K406" s="25"/>
      <c r="L406" s="16"/>
      <c r="M406" s="16"/>
      <c r="N406" s="25"/>
      <c r="O406" s="30"/>
      <c r="P406" s="252">
        <f t="shared" si="127"/>
        <v>9990</v>
      </c>
      <c r="Q406" s="253">
        <f t="shared" si="128"/>
        <v>0</v>
      </c>
      <c r="R406" s="253">
        <f t="shared" si="129"/>
        <v>0</v>
      </c>
      <c r="S406" s="251">
        <f>SUMIFS('tuot-rehukirjanpito'!D:D,'tuot-rehukirjanpito'!A:A,A406)</f>
        <v>0</v>
      </c>
      <c r="T406" s="254">
        <f t="shared" si="123"/>
        <v>1098.9000000000001</v>
      </c>
      <c r="U406" s="254">
        <f t="shared" si="124"/>
        <v>1098.8999999999999</v>
      </c>
      <c r="V406" s="252">
        <f t="shared" si="125"/>
        <v>-443955.60000000289</v>
      </c>
      <c r="W406" s="255">
        <f t="shared" si="126"/>
        <v>-404.00000000000261</v>
      </c>
      <c r="X406" s="256" t="str">
        <f t="shared" si="113"/>
        <v/>
      </c>
      <c r="Y406" s="256" t="str">
        <f t="shared" si="114"/>
        <v/>
      </c>
      <c r="Z406" s="224" t="str">
        <f>IF(IFERROR(INDEX('tuot-rehukirjanpito'!I:I,MATCH(A406,'tuot-rehukirjanpito'!G:G,0)),)=0,"",INDEX('tuot-rehukirjanpito'!I:I,MATCH(A406,'tuot-rehukirjanpito'!G:G,0)))</f>
        <v/>
      </c>
      <c r="AA406" s="224">
        <f>SUMIFS('tuot-INFO'!$K$10:$K$115,'tuot-INFO'!$A$10:$A$115,'tuot-PVÄ'!B406)</f>
        <v>65.900000000000006</v>
      </c>
      <c r="AB406" s="224">
        <f>SUMIFS('rehu-vesi-INFO'!$R:$R,'rehu-vesi-INFO'!$A:$A,'tuot-PVÄ'!B406)</f>
        <v>1730</v>
      </c>
      <c r="AC406" s="224">
        <f>SUMIFS('rehu-vesi-INFO'!$S:$S,'rehu-vesi-INFO'!$A:$A,'tuot-PVÄ'!B406)</f>
        <v>1836</v>
      </c>
      <c r="AD406" s="224">
        <f t="shared" si="116"/>
        <v>106</v>
      </c>
      <c r="AE406" s="224">
        <f t="shared" si="117"/>
        <v>0</v>
      </c>
      <c r="AF406" s="224">
        <f t="shared" si="118"/>
        <v>173</v>
      </c>
      <c r="AG406" s="224">
        <f t="shared" si="119"/>
        <v>10.6</v>
      </c>
      <c r="AH406" s="257">
        <f t="shared" si="121"/>
        <v>0</v>
      </c>
      <c r="AI406" s="258">
        <f t="shared" si="122"/>
        <v>0</v>
      </c>
      <c r="AJ406" s="55">
        <f>SUMIFS('tuot-INFO'!W:W,'tuot-INFO'!$A:$A,'tuot-PVÄ'!B406)</f>
        <v>75.143999999999991</v>
      </c>
      <c r="AK406" s="55">
        <f>SUMIFS('tuot-INFO'!X:X,'tuot-INFO'!$A:$A,'tuot-PVÄ'!B406)</f>
        <v>8.0800000000000125</v>
      </c>
    </row>
    <row r="407" spans="1:37" x14ac:dyDescent="0.25">
      <c r="A407" s="169">
        <f t="shared" si="120"/>
        <v>42893</v>
      </c>
      <c r="B407" s="23">
        <f>ROUNDUP((A407-Yleistiedot!$B$4)/7,0)</f>
        <v>75</v>
      </c>
      <c r="C407" s="16"/>
      <c r="D407" s="25"/>
      <c r="E407" s="25"/>
      <c r="F407" s="25"/>
      <c r="G407" s="25"/>
      <c r="H407" s="25"/>
      <c r="I407" s="65">
        <f t="shared" si="115"/>
        <v>0</v>
      </c>
      <c r="J407" s="26"/>
      <c r="K407" s="25"/>
      <c r="L407" s="16"/>
      <c r="M407" s="16"/>
      <c r="N407" s="25"/>
      <c r="O407" s="30"/>
      <c r="P407" s="252">
        <f t="shared" si="127"/>
        <v>9990</v>
      </c>
      <c r="Q407" s="253">
        <f t="shared" si="128"/>
        <v>0</v>
      </c>
      <c r="R407" s="253">
        <f t="shared" si="129"/>
        <v>0</v>
      </c>
      <c r="S407" s="251">
        <f>SUMIFS('tuot-rehukirjanpito'!D:D,'tuot-rehukirjanpito'!A:A,A407)</f>
        <v>0</v>
      </c>
      <c r="T407" s="254">
        <f t="shared" si="123"/>
        <v>1098.9000000000001</v>
      </c>
      <c r="U407" s="254">
        <f t="shared" si="124"/>
        <v>1098.8999999999999</v>
      </c>
      <c r="V407" s="252">
        <f t="shared" si="125"/>
        <v>-445054.50000000291</v>
      </c>
      <c r="W407" s="255">
        <f t="shared" si="126"/>
        <v>-405.00000000000261</v>
      </c>
      <c r="X407" s="256" t="str">
        <f t="shared" ref="X407:X470" si="130">IF(S407&lt;&gt;0,ROUND(A407+W406,0),"")</f>
        <v/>
      </c>
      <c r="Y407" s="256" t="str">
        <f t="shared" ref="Y407:Y470" si="131">IF(S407&lt;&gt;0,ROUND(A407+W407,0),"")</f>
        <v/>
      </c>
      <c r="Z407" s="224" t="str">
        <f>IF(IFERROR(INDEX('tuot-rehukirjanpito'!I:I,MATCH(A407,'tuot-rehukirjanpito'!G:G,0)),)=0,"",INDEX('tuot-rehukirjanpito'!I:I,MATCH(A407,'tuot-rehukirjanpito'!G:G,0)))</f>
        <v/>
      </c>
      <c r="AA407" s="224">
        <f>SUMIFS('tuot-INFO'!$K$10:$K$115,'tuot-INFO'!$A$10:$A$115,'tuot-PVÄ'!B407)</f>
        <v>65.900000000000006</v>
      </c>
      <c r="AB407" s="224">
        <f>SUMIFS('rehu-vesi-INFO'!$R:$R,'rehu-vesi-INFO'!$A:$A,'tuot-PVÄ'!B407)</f>
        <v>1730</v>
      </c>
      <c r="AC407" s="224">
        <f>SUMIFS('rehu-vesi-INFO'!$S:$S,'rehu-vesi-INFO'!$A:$A,'tuot-PVÄ'!B407)</f>
        <v>1836</v>
      </c>
      <c r="AD407" s="224">
        <f t="shared" si="116"/>
        <v>106</v>
      </c>
      <c r="AE407" s="224">
        <f t="shared" si="117"/>
        <v>0</v>
      </c>
      <c r="AF407" s="224">
        <f t="shared" si="118"/>
        <v>173</v>
      </c>
      <c r="AG407" s="224">
        <f t="shared" si="119"/>
        <v>10.6</v>
      </c>
      <c r="AH407" s="257">
        <f t="shared" si="121"/>
        <v>0</v>
      </c>
      <c r="AI407" s="258">
        <f t="shared" si="122"/>
        <v>0</v>
      </c>
      <c r="AJ407" s="55">
        <f>SUMIFS('tuot-INFO'!W:W,'tuot-INFO'!$A:$A,'tuot-PVÄ'!B407)</f>
        <v>75.143999999999991</v>
      </c>
      <c r="AK407" s="55">
        <f>SUMIFS('tuot-INFO'!X:X,'tuot-INFO'!$A:$A,'tuot-PVÄ'!B407)</f>
        <v>8.0800000000000125</v>
      </c>
    </row>
    <row r="408" spans="1:37" x14ac:dyDescent="0.25">
      <c r="A408" s="169">
        <f t="shared" si="120"/>
        <v>42894</v>
      </c>
      <c r="B408" s="23">
        <f>ROUNDUP((A408-Yleistiedot!$B$4)/7,0)</f>
        <v>75</v>
      </c>
      <c r="C408" s="16"/>
      <c r="D408" s="25"/>
      <c r="E408" s="25"/>
      <c r="F408" s="25"/>
      <c r="G408" s="25"/>
      <c r="H408" s="25"/>
      <c r="I408" s="65">
        <f t="shared" si="115"/>
        <v>0</v>
      </c>
      <c r="J408" s="26"/>
      <c r="K408" s="25"/>
      <c r="L408" s="16"/>
      <c r="M408" s="16"/>
      <c r="N408" s="25"/>
      <c r="O408" s="30"/>
      <c r="P408" s="252">
        <f t="shared" si="127"/>
        <v>9990</v>
      </c>
      <c r="Q408" s="253">
        <f t="shared" si="128"/>
        <v>0</v>
      </c>
      <c r="R408" s="253">
        <f t="shared" si="129"/>
        <v>0</v>
      </c>
      <c r="S408" s="251">
        <f>SUMIFS('tuot-rehukirjanpito'!D:D,'tuot-rehukirjanpito'!A:A,A408)</f>
        <v>0</v>
      </c>
      <c r="T408" s="254">
        <f t="shared" si="123"/>
        <v>1098.9000000000001</v>
      </c>
      <c r="U408" s="254">
        <f t="shared" si="124"/>
        <v>1098.8999999999999</v>
      </c>
      <c r="V408" s="252">
        <f t="shared" si="125"/>
        <v>-446153.40000000293</v>
      </c>
      <c r="W408" s="255">
        <f t="shared" si="126"/>
        <v>-406.00000000000261</v>
      </c>
      <c r="X408" s="256" t="str">
        <f t="shared" si="130"/>
        <v/>
      </c>
      <c r="Y408" s="256" t="str">
        <f t="shared" si="131"/>
        <v/>
      </c>
      <c r="Z408" s="224" t="str">
        <f>IF(IFERROR(INDEX('tuot-rehukirjanpito'!I:I,MATCH(A408,'tuot-rehukirjanpito'!G:G,0)),)=0,"",INDEX('tuot-rehukirjanpito'!I:I,MATCH(A408,'tuot-rehukirjanpito'!G:G,0)))</f>
        <v/>
      </c>
      <c r="AA408" s="224">
        <f>SUMIFS('tuot-INFO'!$K$10:$K$115,'tuot-INFO'!$A$10:$A$115,'tuot-PVÄ'!B408)</f>
        <v>65.900000000000006</v>
      </c>
      <c r="AB408" s="224">
        <f>SUMIFS('rehu-vesi-INFO'!$R:$R,'rehu-vesi-INFO'!$A:$A,'tuot-PVÄ'!B408)</f>
        <v>1730</v>
      </c>
      <c r="AC408" s="224">
        <f>SUMIFS('rehu-vesi-INFO'!$S:$S,'rehu-vesi-INFO'!$A:$A,'tuot-PVÄ'!B408)</f>
        <v>1836</v>
      </c>
      <c r="AD408" s="224">
        <f t="shared" si="116"/>
        <v>106</v>
      </c>
      <c r="AE408" s="224">
        <f t="shared" si="117"/>
        <v>0</v>
      </c>
      <c r="AF408" s="224">
        <f t="shared" si="118"/>
        <v>173</v>
      </c>
      <c r="AG408" s="224">
        <f t="shared" si="119"/>
        <v>10.6</v>
      </c>
      <c r="AH408" s="257">
        <f t="shared" si="121"/>
        <v>0</v>
      </c>
      <c r="AI408" s="258">
        <f t="shared" si="122"/>
        <v>0</v>
      </c>
      <c r="AJ408" s="55">
        <f>SUMIFS('tuot-INFO'!W:W,'tuot-INFO'!$A:$A,'tuot-PVÄ'!B408)</f>
        <v>75.143999999999991</v>
      </c>
      <c r="AK408" s="55">
        <f>SUMIFS('tuot-INFO'!X:X,'tuot-INFO'!$A:$A,'tuot-PVÄ'!B408)</f>
        <v>8.0800000000000125</v>
      </c>
    </row>
    <row r="409" spans="1:37" x14ac:dyDescent="0.25">
      <c r="A409" s="169">
        <f t="shared" si="120"/>
        <v>42895</v>
      </c>
      <c r="B409" s="23">
        <f>ROUNDUP((A409-Yleistiedot!$B$4)/7,0)</f>
        <v>75</v>
      </c>
      <c r="C409" s="16"/>
      <c r="D409" s="25"/>
      <c r="E409" s="25"/>
      <c r="F409" s="25"/>
      <c r="G409" s="25"/>
      <c r="H409" s="25"/>
      <c r="I409" s="65">
        <f t="shared" si="115"/>
        <v>0</v>
      </c>
      <c r="J409" s="26"/>
      <c r="K409" s="25"/>
      <c r="L409" s="16"/>
      <c r="M409" s="16"/>
      <c r="N409" s="25"/>
      <c r="O409" s="30"/>
      <c r="P409" s="252">
        <f t="shared" si="127"/>
        <v>9990</v>
      </c>
      <c r="Q409" s="253">
        <f t="shared" si="128"/>
        <v>0</v>
      </c>
      <c r="R409" s="253">
        <f t="shared" si="129"/>
        <v>0</v>
      </c>
      <c r="S409" s="251">
        <f>SUMIFS('tuot-rehukirjanpito'!D:D,'tuot-rehukirjanpito'!A:A,A409)</f>
        <v>0</v>
      </c>
      <c r="T409" s="254">
        <f t="shared" si="123"/>
        <v>1098.9000000000001</v>
      </c>
      <c r="U409" s="254">
        <f t="shared" si="124"/>
        <v>1098.8999999999999</v>
      </c>
      <c r="V409" s="252">
        <f t="shared" si="125"/>
        <v>-447252.30000000296</v>
      </c>
      <c r="W409" s="255">
        <f t="shared" si="126"/>
        <v>-407.00000000000267</v>
      </c>
      <c r="X409" s="256" t="str">
        <f t="shared" si="130"/>
        <v/>
      </c>
      <c r="Y409" s="256" t="str">
        <f t="shared" si="131"/>
        <v/>
      </c>
      <c r="Z409" s="224" t="str">
        <f>IF(IFERROR(INDEX('tuot-rehukirjanpito'!I:I,MATCH(A409,'tuot-rehukirjanpito'!G:G,0)),)=0,"",INDEX('tuot-rehukirjanpito'!I:I,MATCH(A409,'tuot-rehukirjanpito'!G:G,0)))</f>
        <v/>
      </c>
      <c r="AA409" s="224">
        <f>SUMIFS('tuot-INFO'!$K$10:$K$115,'tuot-INFO'!$A$10:$A$115,'tuot-PVÄ'!B409)</f>
        <v>65.900000000000006</v>
      </c>
      <c r="AB409" s="224">
        <f>SUMIFS('rehu-vesi-INFO'!$R:$R,'rehu-vesi-INFO'!$A:$A,'tuot-PVÄ'!B409)</f>
        <v>1730</v>
      </c>
      <c r="AC409" s="224">
        <f>SUMIFS('rehu-vesi-INFO'!$S:$S,'rehu-vesi-INFO'!$A:$A,'tuot-PVÄ'!B409)</f>
        <v>1836</v>
      </c>
      <c r="AD409" s="224">
        <f t="shared" si="116"/>
        <v>106</v>
      </c>
      <c r="AE409" s="224">
        <f t="shared" si="117"/>
        <v>0</v>
      </c>
      <c r="AF409" s="224">
        <f t="shared" si="118"/>
        <v>173</v>
      </c>
      <c r="AG409" s="224">
        <f t="shared" si="119"/>
        <v>10.6</v>
      </c>
      <c r="AH409" s="257">
        <f t="shared" si="121"/>
        <v>0</v>
      </c>
      <c r="AI409" s="258">
        <f t="shared" si="122"/>
        <v>0</v>
      </c>
      <c r="AJ409" s="55">
        <f>SUMIFS('tuot-INFO'!W:W,'tuot-INFO'!$A:$A,'tuot-PVÄ'!B409)</f>
        <v>75.143999999999991</v>
      </c>
      <c r="AK409" s="55">
        <f>SUMIFS('tuot-INFO'!X:X,'tuot-INFO'!$A:$A,'tuot-PVÄ'!B409)</f>
        <v>8.0800000000000125</v>
      </c>
    </row>
    <row r="410" spans="1:37" x14ac:dyDescent="0.25">
      <c r="A410" s="169">
        <f t="shared" si="120"/>
        <v>42896</v>
      </c>
      <c r="B410" s="23">
        <f>ROUNDUP((A410-Yleistiedot!$B$4)/7,0)</f>
        <v>76</v>
      </c>
      <c r="C410" s="16"/>
      <c r="D410" s="25"/>
      <c r="E410" s="25"/>
      <c r="F410" s="25"/>
      <c r="G410" s="25"/>
      <c r="H410" s="25"/>
      <c r="I410" s="65">
        <f t="shared" si="115"/>
        <v>0</v>
      </c>
      <c r="J410" s="26"/>
      <c r="K410" s="25"/>
      <c r="L410" s="16"/>
      <c r="M410" s="16"/>
      <c r="N410" s="25"/>
      <c r="O410" s="30"/>
      <c r="P410" s="252">
        <f t="shared" si="127"/>
        <v>9990</v>
      </c>
      <c r="Q410" s="253">
        <f t="shared" si="128"/>
        <v>0</v>
      </c>
      <c r="R410" s="253">
        <f t="shared" si="129"/>
        <v>0</v>
      </c>
      <c r="S410" s="251">
        <f>SUMIFS('tuot-rehukirjanpito'!D:D,'tuot-rehukirjanpito'!A:A,A410)</f>
        <v>0</v>
      </c>
      <c r="T410" s="254">
        <f t="shared" si="123"/>
        <v>1098.9000000000001</v>
      </c>
      <c r="U410" s="254">
        <f t="shared" si="124"/>
        <v>1098.8999999999999</v>
      </c>
      <c r="V410" s="252">
        <f t="shared" si="125"/>
        <v>-448351.20000000298</v>
      </c>
      <c r="W410" s="255">
        <f t="shared" si="126"/>
        <v>-408.00000000000267</v>
      </c>
      <c r="X410" s="256" t="str">
        <f t="shared" si="130"/>
        <v/>
      </c>
      <c r="Y410" s="256" t="str">
        <f t="shared" si="131"/>
        <v/>
      </c>
      <c r="Z410" s="224" t="str">
        <f>IF(IFERROR(INDEX('tuot-rehukirjanpito'!I:I,MATCH(A410,'tuot-rehukirjanpito'!G:G,0)),)=0,"",INDEX('tuot-rehukirjanpito'!I:I,MATCH(A410,'tuot-rehukirjanpito'!G:G,0)))</f>
        <v/>
      </c>
      <c r="AA410" s="224">
        <f>SUMIFS('tuot-INFO'!$K$10:$K$115,'tuot-INFO'!$A$10:$A$115,'tuot-PVÄ'!B410)</f>
        <v>65.900000000000006</v>
      </c>
      <c r="AB410" s="224">
        <f>SUMIFS('rehu-vesi-INFO'!$R:$R,'rehu-vesi-INFO'!$A:$A,'tuot-PVÄ'!B410)</f>
        <v>1730</v>
      </c>
      <c r="AC410" s="224">
        <f>SUMIFS('rehu-vesi-INFO'!$S:$S,'rehu-vesi-INFO'!$A:$A,'tuot-PVÄ'!B410)</f>
        <v>1838</v>
      </c>
      <c r="AD410" s="224">
        <f t="shared" si="116"/>
        <v>108</v>
      </c>
      <c r="AE410" s="224">
        <f t="shared" si="117"/>
        <v>0</v>
      </c>
      <c r="AF410" s="224">
        <f t="shared" si="118"/>
        <v>173</v>
      </c>
      <c r="AG410" s="224">
        <f t="shared" si="119"/>
        <v>10.8</v>
      </c>
      <c r="AH410" s="257">
        <f t="shared" si="121"/>
        <v>0</v>
      </c>
      <c r="AI410" s="258">
        <f t="shared" si="122"/>
        <v>0</v>
      </c>
      <c r="AJ410" s="55">
        <f>SUMIFS('tuot-INFO'!W:W,'tuot-INFO'!$A:$A,'tuot-PVÄ'!B410)</f>
        <v>74.585999999999999</v>
      </c>
      <c r="AK410" s="55">
        <f>SUMIFS('tuot-INFO'!X:X,'tuot-INFO'!$A:$A,'tuot-PVÄ'!B410)</f>
        <v>8.0200000000000102</v>
      </c>
    </row>
    <row r="411" spans="1:37" x14ac:dyDescent="0.25">
      <c r="A411" s="169">
        <f t="shared" si="120"/>
        <v>42897</v>
      </c>
      <c r="B411" s="23">
        <f>ROUNDUP((A411-Yleistiedot!$B$4)/7,0)</f>
        <v>76</v>
      </c>
      <c r="C411" s="16"/>
      <c r="D411" s="25"/>
      <c r="E411" s="25"/>
      <c r="F411" s="25"/>
      <c r="G411" s="25"/>
      <c r="H411" s="25"/>
      <c r="I411" s="65">
        <f t="shared" si="115"/>
        <v>0</v>
      </c>
      <c r="J411" s="26"/>
      <c r="K411" s="25"/>
      <c r="L411" s="16"/>
      <c r="M411" s="16"/>
      <c r="N411" s="25"/>
      <c r="O411" s="30"/>
      <c r="P411" s="252">
        <f t="shared" si="127"/>
        <v>9990</v>
      </c>
      <c r="Q411" s="253">
        <f t="shared" si="128"/>
        <v>0</v>
      </c>
      <c r="R411" s="253">
        <f t="shared" si="129"/>
        <v>0</v>
      </c>
      <c r="S411" s="251">
        <f>SUMIFS('tuot-rehukirjanpito'!D:D,'tuot-rehukirjanpito'!A:A,A411)</f>
        <v>0</v>
      </c>
      <c r="T411" s="254">
        <f t="shared" si="123"/>
        <v>1098.9000000000001</v>
      </c>
      <c r="U411" s="254">
        <f t="shared" si="124"/>
        <v>1098.8999999999999</v>
      </c>
      <c r="V411" s="252">
        <f t="shared" si="125"/>
        <v>-449450.100000003</v>
      </c>
      <c r="W411" s="255">
        <f t="shared" si="126"/>
        <v>-409.00000000000267</v>
      </c>
      <c r="X411" s="256" t="str">
        <f t="shared" si="130"/>
        <v/>
      </c>
      <c r="Y411" s="256" t="str">
        <f t="shared" si="131"/>
        <v/>
      </c>
      <c r="Z411" s="224" t="str">
        <f>IF(IFERROR(INDEX('tuot-rehukirjanpito'!I:I,MATCH(A411,'tuot-rehukirjanpito'!G:G,0)),)=0,"",INDEX('tuot-rehukirjanpito'!I:I,MATCH(A411,'tuot-rehukirjanpito'!G:G,0)))</f>
        <v/>
      </c>
      <c r="AA411" s="224">
        <f>SUMIFS('tuot-INFO'!$K$10:$K$115,'tuot-INFO'!$A$10:$A$115,'tuot-PVÄ'!B411)</f>
        <v>65.900000000000006</v>
      </c>
      <c r="AB411" s="224">
        <f>SUMIFS('rehu-vesi-INFO'!$R:$R,'rehu-vesi-INFO'!$A:$A,'tuot-PVÄ'!B411)</f>
        <v>1730</v>
      </c>
      <c r="AC411" s="224">
        <f>SUMIFS('rehu-vesi-INFO'!$S:$S,'rehu-vesi-INFO'!$A:$A,'tuot-PVÄ'!B411)</f>
        <v>1838</v>
      </c>
      <c r="AD411" s="224">
        <f t="shared" si="116"/>
        <v>108</v>
      </c>
      <c r="AE411" s="224">
        <f t="shared" si="117"/>
        <v>0</v>
      </c>
      <c r="AF411" s="224">
        <f t="shared" si="118"/>
        <v>173</v>
      </c>
      <c r="AG411" s="224">
        <f t="shared" si="119"/>
        <v>10.8</v>
      </c>
      <c r="AH411" s="257">
        <f t="shared" si="121"/>
        <v>0</v>
      </c>
      <c r="AI411" s="258">
        <f t="shared" si="122"/>
        <v>0</v>
      </c>
      <c r="AJ411" s="55">
        <f>SUMIFS('tuot-INFO'!W:W,'tuot-INFO'!$A:$A,'tuot-PVÄ'!B411)</f>
        <v>74.585999999999999</v>
      </c>
      <c r="AK411" s="55">
        <f>SUMIFS('tuot-INFO'!X:X,'tuot-INFO'!$A:$A,'tuot-PVÄ'!B411)</f>
        <v>8.0200000000000102</v>
      </c>
    </row>
    <row r="412" spans="1:37" x14ac:dyDescent="0.25">
      <c r="A412" s="169">
        <f t="shared" si="120"/>
        <v>42898</v>
      </c>
      <c r="B412" s="23">
        <f>ROUNDUP((A412-Yleistiedot!$B$4)/7,0)</f>
        <v>76</v>
      </c>
      <c r="C412" s="16"/>
      <c r="D412" s="25"/>
      <c r="E412" s="25"/>
      <c r="F412" s="25"/>
      <c r="G412" s="25"/>
      <c r="H412" s="25"/>
      <c r="I412" s="65">
        <f t="shared" si="115"/>
        <v>0</v>
      </c>
      <c r="J412" s="26"/>
      <c r="K412" s="25"/>
      <c r="L412" s="16"/>
      <c r="M412" s="16"/>
      <c r="N412" s="25"/>
      <c r="O412" s="30"/>
      <c r="P412" s="252">
        <f t="shared" si="127"/>
        <v>9990</v>
      </c>
      <c r="Q412" s="253">
        <f t="shared" si="128"/>
        <v>0</v>
      </c>
      <c r="R412" s="253">
        <f t="shared" si="129"/>
        <v>0</v>
      </c>
      <c r="S412" s="251">
        <f>SUMIFS('tuot-rehukirjanpito'!D:D,'tuot-rehukirjanpito'!A:A,A412)</f>
        <v>0</v>
      </c>
      <c r="T412" s="254">
        <f t="shared" si="123"/>
        <v>1098.9000000000001</v>
      </c>
      <c r="U412" s="254">
        <f t="shared" si="124"/>
        <v>1098.8999999999999</v>
      </c>
      <c r="V412" s="252">
        <f t="shared" si="125"/>
        <v>-450549.00000000303</v>
      </c>
      <c r="W412" s="255">
        <f t="shared" si="126"/>
        <v>-410.00000000000273</v>
      </c>
      <c r="X412" s="256" t="str">
        <f t="shared" si="130"/>
        <v/>
      </c>
      <c r="Y412" s="256" t="str">
        <f t="shared" si="131"/>
        <v/>
      </c>
      <c r="Z412" s="224" t="str">
        <f>IF(IFERROR(INDEX('tuot-rehukirjanpito'!I:I,MATCH(A412,'tuot-rehukirjanpito'!G:G,0)),)=0,"",INDEX('tuot-rehukirjanpito'!I:I,MATCH(A412,'tuot-rehukirjanpito'!G:G,0)))</f>
        <v/>
      </c>
      <c r="AA412" s="224">
        <f>SUMIFS('tuot-INFO'!$K$10:$K$115,'tuot-INFO'!$A$10:$A$115,'tuot-PVÄ'!B412)</f>
        <v>65.900000000000006</v>
      </c>
      <c r="AB412" s="224">
        <f>SUMIFS('rehu-vesi-INFO'!$R:$R,'rehu-vesi-INFO'!$A:$A,'tuot-PVÄ'!B412)</f>
        <v>1730</v>
      </c>
      <c r="AC412" s="224">
        <f>SUMIFS('rehu-vesi-INFO'!$S:$S,'rehu-vesi-INFO'!$A:$A,'tuot-PVÄ'!B412)</f>
        <v>1838</v>
      </c>
      <c r="AD412" s="224">
        <f t="shared" si="116"/>
        <v>108</v>
      </c>
      <c r="AE412" s="224">
        <f t="shared" si="117"/>
        <v>0</v>
      </c>
      <c r="AF412" s="224">
        <f t="shared" si="118"/>
        <v>173</v>
      </c>
      <c r="AG412" s="224">
        <f t="shared" si="119"/>
        <v>10.8</v>
      </c>
      <c r="AH412" s="257">
        <f t="shared" si="121"/>
        <v>0</v>
      </c>
      <c r="AI412" s="258">
        <f t="shared" si="122"/>
        <v>0</v>
      </c>
      <c r="AJ412" s="55">
        <f>SUMIFS('tuot-INFO'!W:W,'tuot-INFO'!$A:$A,'tuot-PVÄ'!B412)</f>
        <v>74.585999999999999</v>
      </c>
      <c r="AK412" s="55">
        <f>SUMIFS('tuot-INFO'!X:X,'tuot-INFO'!$A:$A,'tuot-PVÄ'!B412)</f>
        <v>8.0200000000000102</v>
      </c>
    </row>
    <row r="413" spans="1:37" x14ac:dyDescent="0.25">
      <c r="A413" s="169">
        <f t="shared" si="120"/>
        <v>42899</v>
      </c>
      <c r="B413" s="23">
        <f>ROUNDUP((A413-Yleistiedot!$B$4)/7,0)</f>
        <v>76</v>
      </c>
      <c r="C413" s="16"/>
      <c r="D413" s="25"/>
      <c r="E413" s="25"/>
      <c r="F413" s="25"/>
      <c r="G413" s="25"/>
      <c r="H413" s="25"/>
      <c r="I413" s="65">
        <f t="shared" si="115"/>
        <v>0</v>
      </c>
      <c r="J413" s="26"/>
      <c r="K413" s="25"/>
      <c r="L413" s="16"/>
      <c r="M413" s="16"/>
      <c r="N413" s="25"/>
      <c r="O413" s="30"/>
      <c r="P413" s="252">
        <f t="shared" si="127"/>
        <v>9990</v>
      </c>
      <c r="Q413" s="253">
        <f t="shared" si="128"/>
        <v>0</v>
      </c>
      <c r="R413" s="253">
        <f t="shared" si="129"/>
        <v>0</v>
      </c>
      <c r="S413" s="251">
        <f>SUMIFS('tuot-rehukirjanpito'!D:D,'tuot-rehukirjanpito'!A:A,A413)</f>
        <v>0</v>
      </c>
      <c r="T413" s="254">
        <f t="shared" si="123"/>
        <v>1098.9000000000001</v>
      </c>
      <c r="U413" s="254">
        <f t="shared" si="124"/>
        <v>1098.8999999999999</v>
      </c>
      <c r="V413" s="252">
        <f t="shared" si="125"/>
        <v>-451647.90000000305</v>
      </c>
      <c r="W413" s="255">
        <f t="shared" si="126"/>
        <v>-411.00000000000273</v>
      </c>
      <c r="X413" s="256" t="str">
        <f t="shared" si="130"/>
        <v/>
      </c>
      <c r="Y413" s="256" t="str">
        <f t="shared" si="131"/>
        <v/>
      </c>
      <c r="Z413" s="224" t="str">
        <f>IF(IFERROR(INDEX('tuot-rehukirjanpito'!I:I,MATCH(A413,'tuot-rehukirjanpito'!G:G,0)),)=0,"",INDEX('tuot-rehukirjanpito'!I:I,MATCH(A413,'tuot-rehukirjanpito'!G:G,0)))</f>
        <v/>
      </c>
      <c r="AA413" s="224">
        <f>SUMIFS('tuot-INFO'!$K$10:$K$115,'tuot-INFO'!$A$10:$A$115,'tuot-PVÄ'!B413)</f>
        <v>65.900000000000006</v>
      </c>
      <c r="AB413" s="224">
        <f>SUMIFS('rehu-vesi-INFO'!$R:$R,'rehu-vesi-INFO'!$A:$A,'tuot-PVÄ'!B413)</f>
        <v>1730</v>
      </c>
      <c r="AC413" s="224">
        <f>SUMIFS('rehu-vesi-INFO'!$S:$S,'rehu-vesi-INFO'!$A:$A,'tuot-PVÄ'!B413)</f>
        <v>1838</v>
      </c>
      <c r="AD413" s="224">
        <f t="shared" si="116"/>
        <v>108</v>
      </c>
      <c r="AE413" s="224">
        <f t="shared" si="117"/>
        <v>0</v>
      </c>
      <c r="AF413" s="224">
        <f t="shared" si="118"/>
        <v>173</v>
      </c>
      <c r="AG413" s="224">
        <f t="shared" si="119"/>
        <v>10.8</v>
      </c>
      <c r="AH413" s="257">
        <f t="shared" si="121"/>
        <v>0</v>
      </c>
      <c r="AI413" s="258">
        <f t="shared" si="122"/>
        <v>0</v>
      </c>
      <c r="AJ413" s="55">
        <f>SUMIFS('tuot-INFO'!W:W,'tuot-INFO'!$A:$A,'tuot-PVÄ'!B413)</f>
        <v>74.585999999999999</v>
      </c>
      <c r="AK413" s="55">
        <f>SUMIFS('tuot-INFO'!X:X,'tuot-INFO'!$A:$A,'tuot-PVÄ'!B413)</f>
        <v>8.0200000000000102</v>
      </c>
    </row>
    <row r="414" spans="1:37" x14ac:dyDescent="0.25">
      <c r="A414" s="169">
        <f t="shared" si="120"/>
        <v>42900</v>
      </c>
      <c r="B414" s="23">
        <f>ROUNDUP((A414-Yleistiedot!$B$4)/7,0)</f>
        <v>76</v>
      </c>
      <c r="C414" s="16"/>
      <c r="D414" s="25"/>
      <c r="E414" s="25"/>
      <c r="F414" s="25"/>
      <c r="G414" s="25"/>
      <c r="H414" s="25"/>
      <c r="I414" s="65">
        <f t="shared" si="115"/>
        <v>0</v>
      </c>
      <c r="J414" s="26"/>
      <c r="K414" s="25"/>
      <c r="L414" s="16"/>
      <c r="M414" s="16"/>
      <c r="N414" s="25"/>
      <c r="O414" s="30"/>
      <c r="P414" s="252">
        <f t="shared" si="127"/>
        <v>9990</v>
      </c>
      <c r="Q414" s="253">
        <f t="shared" si="128"/>
        <v>0</v>
      </c>
      <c r="R414" s="253">
        <f t="shared" si="129"/>
        <v>0</v>
      </c>
      <c r="S414" s="251">
        <f>SUMIFS('tuot-rehukirjanpito'!D:D,'tuot-rehukirjanpito'!A:A,A414)</f>
        <v>0</v>
      </c>
      <c r="T414" s="254">
        <f t="shared" si="123"/>
        <v>1098.9000000000001</v>
      </c>
      <c r="U414" s="254">
        <f t="shared" si="124"/>
        <v>1098.8999999999999</v>
      </c>
      <c r="V414" s="252">
        <f t="shared" si="125"/>
        <v>-452746.80000000307</v>
      </c>
      <c r="W414" s="255">
        <f t="shared" si="126"/>
        <v>-412.00000000000279</v>
      </c>
      <c r="X414" s="256" t="str">
        <f t="shared" si="130"/>
        <v/>
      </c>
      <c r="Y414" s="256" t="str">
        <f t="shared" si="131"/>
        <v/>
      </c>
      <c r="Z414" s="224" t="str">
        <f>IF(IFERROR(INDEX('tuot-rehukirjanpito'!I:I,MATCH(A414,'tuot-rehukirjanpito'!G:G,0)),)=0,"",INDEX('tuot-rehukirjanpito'!I:I,MATCH(A414,'tuot-rehukirjanpito'!G:G,0)))</f>
        <v/>
      </c>
      <c r="AA414" s="224">
        <f>SUMIFS('tuot-INFO'!$K$10:$K$115,'tuot-INFO'!$A$10:$A$115,'tuot-PVÄ'!B414)</f>
        <v>65.900000000000006</v>
      </c>
      <c r="AB414" s="224">
        <f>SUMIFS('rehu-vesi-INFO'!$R:$R,'rehu-vesi-INFO'!$A:$A,'tuot-PVÄ'!B414)</f>
        <v>1730</v>
      </c>
      <c r="AC414" s="224">
        <f>SUMIFS('rehu-vesi-INFO'!$S:$S,'rehu-vesi-INFO'!$A:$A,'tuot-PVÄ'!B414)</f>
        <v>1838</v>
      </c>
      <c r="AD414" s="224">
        <f t="shared" si="116"/>
        <v>108</v>
      </c>
      <c r="AE414" s="224">
        <f t="shared" si="117"/>
        <v>0</v>
      </c>
      <c r="AF414" s="224">
        <f t="shared" si="118"/>
        <v>173</v>
      </c>
      <c r="AG414" s="224">
        <f t="shared" si="119"/>
        <v>10.8</v>
      </c>
      <c r="AH414" s="257">
        <f t="shared" si="121"/>
        <v>0</v>
      </c>
      <c r="AI414" s="258">
        <f t="shared" si="122"/>
        <v>0</v>
      </c>
      <c r="AJ414" s="55">
        <f>SUMIFS('tuot-INFO'!W:W,'tuot-INFO'!$A:$A,'tuot-PVÄ'!B414)</f>
        <v>74.585999999999999</v>
      </c>
      <c r="AK414" s="55">
        <f>SUMIFS('tuot-INFO'!X:X,'tuot-INFO'!$A:$A,'tuot-PVÄ'!B414)</f>
        <v>8.0200000000000102</v>
      </c>
    </row>
    <row r="415" spans="1:37" x14ac:dyDescent="0.25">
      <c r="A415" s="169">
        <f t="shared" si="120"/>
        <v>42901</v>
      </c>
      <c r="B415" s="23">
        <f>ROUNDUP((A415-Yleistiedot!$B$4)/7,0)</f>
        <v>76</v>
      </c>
      <c r="C415" s="16"/>
      <c r="D415" s="25"/>
      <c r="E415" s="25"/>
      <c r="F415" s="25"/>
      <c r="G415" s="25"/>
      <c r="H415" s="25"/>
      <c r="I415" s="65">
        <f t="shared" si="115"/>
        <v>0</v>
      </c>
      <c r="J415" s="26"/>
      <c r="K415" s="25"/>
      <c r="L415" s="16"/>
      <c r="M415" s="16"/>
      <c r="N415" s="25"/>
      <c r="O415" s="30"/>
      <c r="P415" s="252">
        <f t="shared" si="127"/>
        <v>9990</v>
      </c>
      <c r="Q415" s="253">
        <f t="shared" si="128"/>
        <v>0</v>
      </c>
      <c r="R415" s="253">
        <f t="shared" si="129"/>
        <v>0</v>
      </c>
      <c r="S415" s="251">
        <f>SUMIFS('tuot-rehukirjanpito'!D:D,'tuot-rehukirjanpito'!A:A,A415)</f>
        <v>0</v>
      </c>
      <c r="T415" s="254">
        <f t="shared" si="123"/>
        <v>1098.9000000000001</v>
      </c>
      <c r="U415" s="254">
        <f t="shared" si="124"/>
        <v>1098.8999999999999</v>
      </c>
      <c r="V415" s="252">
        <f t="shared" si="125"/>
        <v>-453845.7000000031</v>
      </c>
      <c r="W415" s="255">
        <f t="shared" si="126"/>
        <v>-413.00000000000279</v>
      </c>
      <c r="X415" s="256" t="str">
        <f t="shared" si="130"/>
        <v/>
      </c>
      <c r="Y415" s="256" t="str">
        <f t="shared" si="131"/>
        <v/>
      </c>
      <c r="Z415" s="224" t="str">
        <f>IF(IFERROR(INDEX('tuot-rehukirjanpito'!I:I,MATCH(A415,'tuot-rehukirjanpito'!G:G,0)),)=0,"",INDEX('tuot-rehukirjanpito'!I:I,MATCH(A415,'tuot-rehukirjanpito'!G:G,0)))</f>
        <v/>
      </c>
      <c r="AA415" s="224">
        <f>SUMIFS('tuot-INFO'!$K$10:$K$115,'tuot-INFO'!$A$10:$A$115,'tuot-PVÄ'!B415)</f>
        <v>65.900000000000006</v>
      </c>
      <c r="AB415" s="224">
        <f>SUMIFS('rehu-vesi-INFO'!$R:$R,'rehu-vesi-INFO'!$A:$A,'tuot-PVÄ'!B415)</f>
        <v>1730</v>
      </c>
      <c r="AC415" s="224">
        <f>SUMIFS('rehu-vesi-INFO'!$S:$S,'rehu-vesi-INFO'!$A:$A,'tuot-PVÄ'!B415)</f>
        <v>1838</v>
      </c>
      <c r="AD415" s="224">
        <f t="shared" si="116"/>
        <v>108</v>
      </c>
      <c r="AE415" s="224">
        <f t="shared" si="117"/>
        <v>0</v>
      </c>
      <c r="AF415" s="224">
        <f t="shared" si="118"/>
        <v>173</v>
      </c>
      <c r="AG415" s="224">
        <f t="shared" si="119"/>
        <v>10.8</v>
      </c>
      <c r="AH415" s="257">
        <f t="shared" si="121"/>
        <v>0</v>
      </c>
      <c r="AI415" s="258">
        <f t="shared" si="122"/>
        <v>0</v>
      </c>
      <c r="AJ415" s="55">
        <f>SUMIFS('tuot-INFO'!W:W,'tuot-INFO'!$A:$A,'tuot-PVÄ'!B415)</f>
        <v>74.585999999999999</v>
      </c>
      <c r="AK415" s="55">
        <f>SUMIFS('tuot-INFO'!X:X,'tuot-INFO'!$A:$A,'tuot-PVÄ'!B415)</f>
        <v>8.0200000000000102</v>
      </c>
    </row>
    <row r="416" spans="1:37" x14ac:dyDescent="0.25">
      <c r="A416" s="169">
        <f t="shared" si="120"/>
        <v>42902</v>
      </c>
      <c r="B416" s="23">
        <f>ROUNDUP((A416-Yleistiedot!$B$4)/7,0)</f>
        <v>76</v>
      </c>
      <c r="C416" s="16"/>
      <c r="D416" s="25"/>
      <c r="E416" s="25"/>
      <c r="F416" s="25"/>
      <c r="G416" s="25"/>
      <c r="H416" s="25"/>
      <c r="I416" s="65">
        <f t="shared" si="115"/>
        <v>0</v>
      </c>
      <c r="J416" s="26"/>
      <c r="K416" s="25"/>
      <c r="L416" s="16"/>
      <c r="M416" s="16"/>
      <c r="N416" s="25"/>
      <c r="O416" s="30"/>
      <c r="P416" s="252">
        <f t="shared" si="127"/>
        <v>9990</v>
      </c>
      <c r="Q416" s="253">
        <f t="shared" si="128"/>
        <v>0</v>
      </c>
      <c r="R416" s="253">
        <f t="shared" si="129"/>
        <v>0</v>
      </c>
      <c r="S416" s="251">
        <f>SUMIFS('tuot-rehukirjanpito'!D:D,'tuot-rehukirjanpito'!A:A,A416)</f>
        <v>0</v>
      </c>
      <c r="T416" s="254">
        <f t="shared" si="123"/>
        <v>1098.9000000000001</v>
      </c>
      <c r="U416" s="254">
        <f t="shared" si="124"/>
        <v>1098.8999999999999</v>
      </c>
      <c r="V416" s="252">
        <f t="shared" si="125"/>
        <v>-454944.60000000312</v>
      </c>
      <c r="W416" s="255">
        <f t="shared" si="126"/>
        <v>-414.00000000000279</v>
      </c>
      <c r="X416" s="256" t="str">
        <f t="shared" si="130"/>
        <v/>
      </c>
      <c r="Y416" s="256" t="str">
        <f t="shared" si="131"/>
        <v/>
      </c>
      <c r="Z416" s="224" t="str">
        <f>IF(IFERROR(INDEX('tuot-rehukirjanpito'!I:I,MATCH(A416,'tuot-rehukirjanpito'!G:G,0)),)=0,"",INDEX('tuot-rehukirjanpito'!I:I,MATCH(A416,'tuot-rehukirjanpito'!G:G,0)))</f>
        <v/>
      </c>
      <c r="AA416" s="224">
        <f>SUMIFS('tuot-INFO'!$K$10:$K$115,'tuot-INFO'!$A$10:$A$115,'tuot-PVÄ'!B416)</f>
        <v>65.900000000000006</v>
      </c>
      <c r="AB416" s="224">
        <f>SUMIFS('rehu-vesi-INFO'!$R:$R,'rehu-vesi-INFO'!$A:$A,'tuot-PVÄ'!B416)</f>
        <v>1730</v>
      </c>
      <c r="AC416" s="224">
        <f>SUMIFS('rehu-vesi-INFO'!$S:$S,'rehu-vesi-INFO'!$A:$A,'tuot-PVÄ'!B416)</f>
        <v>1838</v>
      </c>
      <c r="AD416" s="224">
        <f t="shared" si="116"/>
        <v>108</v>
      </c>
      <c r="AE416" s="224">
        <f t="shared" si="117"/>
        <v>0</v>
      </c>
      <c r="AF416" s="224">
        <f t="shared" si="118"/>
        <v>173</v>
      </c>
      <c r="AG416" s="224">
        <f t="shared" si="119"/>
        <v>10.8</v>
      </c>
      <c r="AH416" s="257">
        <f t="shared" si="121"/>
        <v>0</v>
      </c>
      <c r="AI416" s="258">
        <f t="shared" si="122"/>
        <v>0</v>
      </c>
      <c r="AJ416" s="55">
        <f>SUMIFS('tuot-INFO'!W:W,'tuot-INFO'!$A:$A,'tuot-PVÄ'!B416)</f>
        <v>74.585999999999999</v>
      </c>
      <c r="AK416" s="55">
        <f>SUMIFS('tuot-INFO'!X:X,'tuot-INFO'!$A:$A,'tuot-PVÄ'!B416)</f>
        <v>8.0200000000000102</v>
      </c>
    </row>
    <row r="417" spans="1:37" x14ac:dyDescent="0.25">
      <c r="A417" s="169">
        <f t="shared" si="120"/>
        <v>42903</v>
      </c>
      <c r="B417" s="23">
        <f>ROUNDUP((A417-Yleistiedot!$B$4)/7,0)</f>
        <v>77</v>
      </c>
      <c r="C417" s="16"/>
      <c r="D417" s="25"/>
      <c r="E417" s="25"/>
      <c r="F417" s="25"/>
      <c r="G417" s="25"/>
      <c r="H417" s="25"/>
      <c r="I417" s="65">
        <f t="shared" si="115"/>
        <v>0</v>
      </c>
      <c r="J417" s="26"/>
      <c r="K417" s="25"/>
      <c r="L417" s="16"/>
      <c r="M417" s="16"/>
      <c r="N417" s="25"/>
      <c r="O417" s="30"/>
      <c r="P417" s="252">
        <f t="shared" si="127"/>
        <v>9990</v>
      </c>
      <c r="Q417" s="253">
        <f t="shared" si="128"/>
        <v>0</v>
      </c>
      <c r="R417" s="253">
        <f t="shared" si="129"/>
        <v>0</v>
      </c>
      <c r="S417" s="251">
        <f>SUMIFS('tuot-rehukirjanpito'!D:D,'tuot-rehukirjanpito'!A:A,A417)</f>
        <v>0</v>
      </c>
      <c r="T417" s="254">
        <f t="shared" si="123"/>
        <v>1098.9000000000001</v>
      </c>
      <c r="U417" s="254">
        <f t="shared" si="124"/>
        <v>1098.8999999999999</v>
      </c>
      <c r="V417" s="252">
        <f t="shared" si="125"/>
        <v>-456043.50000000314</v>
      </c>
      <c r="W417" s="255">
        <f t="shared" si="126"/>
        <v>-415.00000000000284</v>
      </c>
      <c r="X417" s="256" t="str">
        <f t="shared" si="130"/>
        <v/>
      </c>
      <c r="Y417" s="256" t="str">
        <f t="shared" si="131"/>
        <v/>
      </c>
      <c r="Z417" s="224" t="str">
        <f>IF(IFERROR(INDEX('tuot-rehukirjanpito'!I:I,MATCH(A417,'tuot-rehukirjanpito'!G:G,0)),)=0,"",INDEX('tuot-rehukirjanpito'!I:I,MATCH(A417,'tuot-rehukirjanpito'!G:G,0)))</f>
        <v/>
      </c>
      <c r="AA417" s="224">
        <f>SUMIFS('tuot-INFO'!$K$10:$K$115,'tuot-INFO'!$A$10:$A$115,'tuot-PVÄ'!B417)</f>
        <v>66</v>
      </c>
      <c r="AB417" s="224">
        <f>SUMIFS('rehu-vesi-INFO'!$R:$R,'rehu-vesi-INFO'!$A:$A,'tuot-PVÄ'!B417)</f>
        <v>1731</v>
      </c>
      <c r="AC417" s="224">
        <f>SUMIFS('rehu-vesi-INFO'!$S:$S,'rehu-vesi-INFO'!$A:$A,'tuot-PVÄ'!B417)</f>
        <v>1839</v>
      </c>
      <c r="AD417" s="224">
        <f t="shared" si="116"/>
        <v>108</v>
      </c>
      <c r="AE417" s="224">
        <f t="shared" si="117"/>
        <v>0</v>
      </c>
      <c r="AF417" s="224">
        <f t="shared" si="118"/>
        <v>173.1</v>
      </c>
      <c r="AG417" s="224">
        <f t="shared" si="119"/>
        <v>10.8</v>
      </c>
      <c r="AH417" s="257">
        <f t="shared" si="121"/>
        <v>0</v>
      </c>
      <c r="AI417" s="258">
        <f t="shared" si="122"/>
        <v>0</v>
      </c>
      <c r="AJ417" s="55">
        <f>SUMIFS('tuot-INFO'!W:W,'tuot-INFO'!$A:$A,'tuot-PVÄ'!B417)</f>
        <v>74.027999999999992</v>
      </c>
      <c r="AK417" s="55">
        <f>SUMIFS('tuot-INFO'!X:X,'tuot-INFO'!$A:$A,'tuot-PVÄ'!B417)</f>
        <v>7.960000000000008</v>
      </c>
    </row>
    <row r="418" spans="1:37" x14ac:dyDescent="0.25">
      <c r="A418" s="169">
        <f t="shared" si="120"/>
        <v>42904</v>
      </c>
      <c r="B418" s="23">
        <f>ROUNDUP((A418-Yleistiedot!$B$4)/7,0)</f>
        <v>77</v>
      </c>
      <c r="C418" s="16"/>
      <c r="D418" s="25"/>
      <c r="E418" s="25"/>
      <c r="F418" s="25"/>
      <c r="G418" s="25"/>
      <c r="H418" s="25"/>
      <c r="I418" s="65">
        <f t="shared" si="115"/>
        <v>0</v>
      </c>
      <c r="J418" s="26"/>
      <c r="K418" s="25"/>
      <c r="L418" s="16"/>
      <c r="M418" s="16"/>
      <c r="N418" s="25"/>
      <c r="O418" s="30"/>
      <c r="P418" s="252">
        <f t="shared" si="127"/>
        <v>9990</v>
      </c>
      <c r="Q418" s="253">
        <f t="shared" si="128"/>
        <v>0</v>
      </c>
      <c r="R418" s="253">
        <f t="shared" si="129"/>
        <v>0</v>
      </c>
      <c r="S418" s="251">
        <f>SUMIFS('tuot-rehukirjanpito'!D:D,'tuot-rehukirjanpito'!A:A,A418)</f>
        <v>0</v>
      </c>
      <c r="T418" s="254">
        <f t="shared" si="123"/>
        <v>1098.9000000000001</v>
      </c>
      <c r="U418" s="254">
        <f t="shared" si="124"/>
        <v>1098.8999999999999</v>
      </c>
      <c r="V418" s="252">
        <f t="shared" si="125"/>
        <v>-457142.40000000317</v>
      </c>
      <c r="W418" s="255">
        <f t="shared" si="126"/>
        <v>-416.00000000000284</v>
      </c>
      <c r="X418" s="256" t="str">
        <f t="shared" si="130"/>
        <v/>
      </c>
      <c r="Y418" s="256" t="str">
        <f t="shared" si="131"/>
        <v/>
      </c>
      <c r="Z418" s="224" t="str">
        <f>IF(IFERROR(INDEX('tuot-rehukirjanpito'!I:I,MATCH(A418,'tuot-rehukirjanpito'!G:G,0)),)=0,"",INDEX('tuot-rehukirjanpito'!I:I,MATCH(A418,'tuot-rehukirjanpito'!G:G,0)))</f>
        <v/>
      </c>
      <c r="AA418" s="224">
        <f>SUMIFS('tuot-INFO'!$K$10:$K$115,'tuot-INFO'!$A$10:$A$115,'tuot-PVÄ'!B418)</f>
        <v>66</v>
      </c>
      <c r="AB418" s="224">
        <f>SUMIFS('rehu-vesi-INFO'!$R:$R,'rehu-vesi-INFO'!$A:$A,'tuot-PVÄ'!B418)</f>
        <v>1731</v>
      </c>
      <c r="AC418" s="224">
        <f>SUMIFS('rehu-vesi-INFO'!$S:$S,'rehu-vesi-INFO'!$A:$A,'tuot-PVÄ'!B418)</f>
        <v>1839</v>
      </c>
      <c r="AD418" s="224">
        <f t="shared" si="116"/>
        <v>108</v>
      </c>
      <c r="AE418" s="224">
        <f t="shared" si="117"/>
        <v>0</v>
      </c>
      <c r="AF418" s="224">
        <f t="shared" si="118"/>
        <v>173.1</v>
      </c>
      <c r="AG418" s="224">
        <f t="shared" si="119"/>
        <v>10.8</v>
      </c>
      <c r="AH418" s="257">
        <f t="shared" si="121"/>
        <v>0</v>
      </c>
      <c r="AI418" s="258">
        <f t="shared" si="122"/>
        <v>0</v>
      </c>
      <c r="AJ418" s="55">
        <f>SUMIFS('tuot-INFO'!W:W,'tuot-INFO'!$A:$A,'tuot-PVÄ'!B418)</f>
        <v>74.027999999999992</v>
      </c>
      <c r="AK418" s="55">
        <f>SUMIFS('tuot-INFO'!X:X,'tuot-INFO'!$A:$A,'tuot-PVÄ'!B418)</f>
        <v>7.960000000000008</v>
      </c>
    </row>
    <row r="419" spans="1:37" x14ac:dyDescent="0.25">
      <c r="A419" s="169">
        <f t="shared" si="120"/>
        <v>42905</v>
      </c>
      <c r="B419" s="23">
        <f>ROUNDUP((A419-Yleistiedot!$B$4)/7,0)</f>
        <v>77</v>
      </c>
      <c r="C419" s="16"/>
      <c r="D419" s="25"/>
      <c r="E419" s="25"/>
      <c r="F419" s="25"/>
      <c r="G419" s="25"/>
      <c r="H419" s="25"/>
      <c r="I419" s="65">
        <f t="shared" si="115"/>
        <v>0</v>
      </c>
      <c r="J419" s="26"/>
      <c r="K419" s="25"/>
      <c r="L419" s="16"/>
      <c r="M419" s="16"/>
      <c r="N419" s="25"/>
      <c r="O419" s="30"/>
      <c r="P419" s="252">
        <f t="shared" si="127"/>
        <v>9990</v>
      </c>
      <c r="Q419" s="253">
        <f t="shared" si="128"/>
        <v>0</v>
      </c>
      <c r="R419" s="253">
        <f t="shared" si="129"/>
        <v>0</v>
      </c>
      <c r="S419" s="251">
        <f>SUMIFS('tuot-rehukirjanpito'!D:D,'tuot-rehukirjanpito'!A:A,A419)</f>
        <v>0</v>
      </c>
      <c r="T419" s="254">
        <f t="shared" si="123"/>
        <v>1098.9000000000001</v>
      </c>
      <c r="U419" s="254">
        <f t="shared" si="124"/>
        <v>1098.8999999999999</v>
      </c>
      <c r="V419" s="252">
        <f t="shared" si="125"/>
        <v>-458241.30000000319</v>
      </c>
      <c r="W419" s="255">
        <f t="shared" si="126"/>
        <v>-417.00000000000284</v>
      </c>
      <c r="X419" s="256" t="str">
        <f t="shared" si="130"/>
        <v/>
      </c>
      <c r="Y419" s="256" t="str">
        <f t="shared" si="131"/>
        <v/>
      </c>
      <c r="Z419" s="224" t="str">
        <f>IF(IFERROR(INDEX('tuot-rehukirjanpito'!I:I,MATCH(A419,'tuot-rehukirjanpito'!G:G,0)),)=0,"",INDEX('tuot-rehukirjanpito'!I:I,MATCH(A419,'tuot-rehukirjanpito'!G:G,0)))</f>
        <v/>
      </c>
      <c r="AA419" s="224">
        <f>SUMIFS('tuot-INFO'!$K$10:$K$115,'tuot-INFO'!$A$10:$A$115,'tuot-PVÄ'!B419)</f>
        <v>66</v>
      </c>
      <c r="AB419" s="224">
        <f>SUMIFS('rehu-vesi-INFO'!$R:$R,'rehu-vesi-INFO'!$A:$A,'tuot-PVÄ'!B419)</f>
        <v>1731</v>
      </c>
      <c r="AC419" s="224">
        <f>SUMIFS('rehu-vesi-INFO'!$S:$S,'rehu-vesi-INFO'!$A:$A,'tuot-PVÄ'!B419)</f>
        <v>1839</v>
      </c>
      <c r="AD419" s="224">
        <f t="shared" si="116"/>
        <v>108</v>
      </c>
      <c r="AE419" s="224">
        <f t="shared" si="117"/>
        <v>0</v>
      </c>
      <c r="AF419" s="224">
        <f t="shared" si="118"/>
        <v>173.1</v>
      </c>
      <c r="AG419" s="224">
        <f t="shared" si="119"/>
        <v>10.8</v>
      </c>
      <c r="AH419" s="257">
        <f t="shared" si="121"/>
        <v>0</v>
      </c>
      <c r="AI419" s="258">
        <f t="shared" si="122"/>
        <v>0</v>
      </c>
      <c r="AJ419" s="55">
        <f>SUMIFS('tuot-INFO'!W:W,'tuot-INFO'!$A:$A,'tuot-PVÄ'!B419)</f>
        <v>74.027999999999992</v>
      </c>
      <c r="AK419" s="55">
        <f>SUMIFS('tuot-INFO'!X:X,'tuot-INFO'!$A:$A,'tuot-PVÄ'!B419)</f>
        <v>7.960000000000008</v>
      </c>
    </row>
    <row r="420" spans="1:37" x14ac:dyDescent="0.25">
      <c r="A420" s="169">
        <f t="shared" si="120"/>
        <v>42906</v>
      </c>
      <c r="B420" s="23">
        <f>ROUNDUP((A420-Yleistiedot!$B$4)/7,0)</f>
        <v>77</v>
      </c>
      <c r="C420" s="16"/>
      <c r="D420" s="25"/>
      <c r="E420" s="25"/>
      <c r="F420" s="25"/>
      <c r="G420" s="25"/>
      <c r="H420" s="25"/>
      <c r="I420" s="65">
        <f t="shared" si="115"/>
        <v>0</v>
      </c>
      <c r="J420" s="26"/>
      <c r="K420" s="25"/>
      <c r="L420" s="16"/>
      <c r="M420" s="16"/>
      <c r="N420" s="25"/>
      <c r="O420" s="30"/>
      <c r="P420" s="252">
        <f t="shared" si="127"/>
        <v>9990</v>
      </c>
      <c r="Q420" s="253">
        <f t="shared" si="128"/>
        <v>0</v>
      </c>
      <c r="R420" s="253">
        <f t="shared" si="129"/>
        <v>0</v>
      </c>
      <c r="S420" s="251">
        <f>SUMIFS('tuot-rehukirjanpito'!D:D,'tuot-rehukirjanpito'!A:A,A420)</f>
        <v>0</v>
      </c>
      <c r="T420" s="254">
        <f t="shared" si="123"/>
        <v>1098.9000000000001</v>
      </c>
      <c r="U420" s="254">
        <f t="shared" si="124"/>
        <v>1098.8999999999999</v>
      </c>
      <c r="V420" s="252">
        <f t="shared" si="125"/>
        <v>-459340.20000000321</v>
      </c>
      <c r="W420" s="255">
        <f t="shared" si="126"/>
        <v>-418.0000000000029</v>
      </c>
      <c r="X420" s="256" t="str">
        <f t="shared" si="130"/>
        <v/>
      </c>
      <c r="Y420" s="256" t="str">
        <f t="shared" si="131"/>
        <v/>
      </c>
      <c r="Z420" s="224" t="str">
        <f>IF(IFERROR(INDEX('tuot-rehukirjanpito'!I:I,MATCH(A420,'tuot-rehukirjanpito'!G:G,0)),)=0,"",INDEX('tuot-rehukirjanpito'!I:I,MATCH(A420,'tuot-rehukirjanpito'!G:G,0)))</f>
        <v/>
      </c>
      <c r="AA420" s="224">
        <f>SUMIFS('tuot-INFO'!$K$10:$K$115,'tuot-INFO'!$A$10:$A$115,'tuot-PVÄ'!B420)</f>
        <v>66</v>
      </c>
      <c r="AB420" s="224">
        <f>SUMIFS('rehu-vesi-INFO'!$R:$R,'rehu-vesi-INFO'!$A:$A,'tuot-PVÄ'!B420)</f>
        <v>1731</v>
      </c>
      <c r="AC420" s="224">
        <f>SUMIFS('rehu-vesi-INFO'!$S:$S,'rehu-vesi-INFO'!$A:$A,'tuot-PVÄ'!B420)</f>
        <v>1839</v>
      </c>
      <c r="AD420" s="224">
        <f t="shared" si="116"/>
        <v>108</v>
      </c>
      <c r="AE420" s="224">
        <f t="shared" si="117"/>
        <v>0</v>
      </c>
      <c r="AF420" s="224">
        <f t="shared" si="118"/>
        <v>173.1</v>
      </c>
      <c r="AG420" s="224">
        <f t="shared" si="119"/>
        <v>10.8</v>
      </c>
      <c r="AH420" s="257">
        <f t="shared" si="121"/>
        <v>0</v>
      </c>
      <c r="AI420" s="258">
        <f t="shared" si="122"/>
        <v>0</v>
      </c>
      <c r="AJ420" s="55">
        <f>SUMIFS('tuot-INFO'!W:W,'tuot-INFO'!$A:$A,'tuot-PVÄ'!B420)</f>
        <v>74.027999999999992</v>
      </c>
      <c r="AK420" s="55">
        <f>SUMIFS('tuot-INFO'!X:X,'tuot-INFO'!$A:$A,'tuot-PVÄ'!B420)</f>
        <v>7.960000000000008</v>
      </c>
    </row>
    <row r="421" spans="1:37" x14ac:dyDescent="0.25">
      <c r="A421" s="169">
        <f t="shared" si="120"/>
        <v>42907</v>
      </c>
      <c r="B421" s="23">
        <f>ROUNDUP((A421-Yleistiedot!$B$4)/7,0)</f>
        <v>77</v>
      </c>
      <c r="C421" s="16"/>
      <c r="D421" s="25"/>
      <c r="E421" s="25"/>
      <c r="F421" s="25"/>
      <c r="G421" s="25"/>
      <c r="H421" s="25"/>
      <c r="I421" s="65">
        <f t="shared" si="115"/>
        <v>0</v>
      </c>
      <c r="J421" s="26"/>
      <c r="K421" s="25"/>
      <c r="L421" s="16"/>
      <c r="M421" s="16"/>
      <c r="N421" s="25"/>
      <c r="O421" s="30"/>
      <c r="P421" s="252">
        <f t="shared" si="127"/>
        <v>9990</v>
      </c>
      <c r="Q421" s="253">
        <f t="shared" si="128"/>
        <v>0</v>
      </c>
      <c r="R421" s="253">
        <f t="shared" si="129"/>
        <v>0</v>
      </c>
      <c r="S421" s="251">
        <f>SUMIFS('tuot-rehukirjanpito'!D:D,'tuot-rehukirjanpito'!A:A,A421)</f>
        <v>0</v>
      </c>
      <c r="T421" s="254">
        <f t="shared" si="123"/>
        <v>1098.9000000000001</v>
      </c>
      <c r="U421" s="254">
        <f t="shared" si="124"/>
        <v>1098.8999999999999</v>
      </c>
      <c r="V421" s="252">
        <f t="shared" si="125"/>
        <v>-460439.10000000324</v>
      </c>
      <c r="W421" s="255">
        <f t="shared" si="126"/>
        <v>-419.0000000000029</v>
      </c>
      <c r="X421" s="256" t="str">
        <f t="shared" si="130"/>
        <v/>
      </c>
      <c r="Y421" s="256" t="str">
        <f t="shared" si="131"/>
        <v/>
      </c>
      <c r="Z421" s="224" t="str">
        <f>IF(IFERROR(INDEX('tuot-rehukirjanpito'!I:I,MATCH(A421,'tuot-rehukirjanpito'!G:G,0)),)=0,"",INDEX('tuot-rehukirjanpito'!I:I,MATCH(A421,'tuot-rehukirjanpito'!G:G,0)))</f>
        <v/>
      </c>
      <c r="AA421" s="224">
        <f>SUMIFS('tuot-INFO'!$K$10:$K$115,'tuot-INFO'!$A$10:$A$115,'tuot-PVÄ'!B421)</f>
        <v>66</v>
      </c>
      <c r="AB421" s="224">
        <f>SUMIFS('rehu-vesi-INFO'!$R:$R,'rehu-vesi-INFO'!$A:$A,'tuot-PVÄ'!B421)</f>
        <v>1731</v>
      </c>
      <c r="AC421" s="224">
        <f>SUMIFS('rehu-vesi-INFO'!$S:$S,'rehu-vesi-INFO'!$A:$A,'tuot-PVÄ'!B421)</f>
        <v>1839</v>
      </c>
      <c r="AD421" s="224">
        <f t="shared" si="116"/>
        <v>108</v>
      </c>
      <c r="AE421" s="224">
        <f t="shared" si="117"/>
        <v>0</v>
      </c>
      <c r="AF421" s="224">
        <f t="shared" si="118"/>
        <v>173.1</v>
      </c>
      <c r="AG421" s="224">
        <f t="shared" si="119"/>
        <v>10.8</v>
      </c>
      <c r="AH421" s="257">
        <f t="shared" si="121"/>
        <v>0</v>
      </c>
      <c r="AI421" s="258">
        <f t="shared" si="122"/>
        <v>0</v>
      </c>
      <c r="AJ421" s="55">
        <f>SUMIFS('tuot-INFO'!W:W,'tuot-INFO'!$A:$A,'tuot-PVÄ'!B421)</f>
        <v>74.027999999999992</v>
      </c>
      <c r="AK421" s="55">
        <f>SUMIFS('tuot-INFO'!X:X,'tuot-INFO'!$A:$A,'tuot-PVÄ'!B421)</f>
        <v>7.960000000000008</v>
      </c>
    </row>
    <row r="422" spans="1:37" x14ac:dyDescent="0.25">
      <c r="A422" s="169">
        <f t="shared" si="120"/>
        <v>42908</v>
      </c>
      <c r="B422" s="23">
        <f>ROUNDUP((A422-Yleistiedot!$B$4)/7,0)</f>
        <v>77</v>
      </c>
      <c r="C422" s="16"/>
      <c r="D422" s="25"/>
      <c r="E422" s="25"/>
      <c r="F422" s="25"/>
      <c r="G422" s="25"/>
      <c r="H422" s="25"/>
      <c r="I422" s="65">
        <f t="shared" si="115"/>
        <v>0</v>
      </c>
      <c r="J422" s="26"/>
      <c r="K422" s="25"/>
      <c r="L422" s="16"/>
      <c r="M422" s="16"/>
      <c r="N422" s="25"/>
      <c r="O422" s="30"/>
      <c r="P422" s="252">
        <f t="shared" si="127"/>
        <v>9990</v>
      </c>
      <c r="Q422" s="253">
        <f t="shared" si="128"/>
        <v>0</v>
      </c>
      <c r="R422" s="253">
        <f t="shared" si="129"/>
        <v>0</v>
      </c>
      <c r="S422" s="251">
        <f>SUMIFS('tuot-rehukirjanpito'!D:D,'tuot-rehukirjanpito'!A:A,A422)</f>
        <v>0</v>
      </c>
      <c r="T422" s="254">
        <f t="shared" si="123"/>
        <v>1098.9000000000001</v>
      </c>
      <c r="U422" s="254">
        <f t="shared" si="124"/>
        <v>1098.8999999999999</v>
      </c>
      <c r="V422" s="252">
        <f t="shared" si="125"/>
        <v>-461538.00000000326</v>
      </c>
      <c r="W422" s="255">
        <f t="shared" si="126"/>
        <v>-420.00000000000296</v>
      </c>
      <c r="X422" s="256" t="str">
        <f t="shared" si="130"/>
        <v/>
      </c>
      <c r="Y422" s="256" t="str">
        <f t="shared" si="131"/>
        <v/>
      </c>
      <c r="Z422" s="224" t="str">
        <f>IF(IFERROR(INDEX('tuot-rehukirjanpito'!I:I,MATCH(A422,'tuot-rehukirjanpito'!G:G,0)),)=0,"",INDEX('tuot-rehukirjanpito'!I:I,MATCH(A422,'tuot-rehukirjanpito'!G:G,0)))</f>
        <v/>
      </c>
      <c r="AA422" s="224">
        <f>SUMIFS('tuot-INFO'!$K$10:$K$115,'tuot-INFO'!$A$10:$A$115,'tuot-PVÄ'!B422)</f>
        <v>66</v>
      </c>
      <c r="AB422" s="224">
        <f>SUMIFS('rehu-vesi-INFO'!$R:$R,'rehu-vesi-INFO'!$A:$A,'tuot-PVÄ'!B422)</f>
        <v>1731</v>
      </c>
      <c r="AC422" s="224">
        <f>SUMIFS('rehu-vesi-INFO'!$S:$S,'rehu-vesi-INFO'!$A:$A,'tuot-PVÄ'!B422)</f>
        <v>1839</v>
      </c>
      <c r="AD422" s="224">
        <f t="shared" si="116"/>
        <v>108</v>
      </c>
      <c r="AE422" s="224">
        <f t="shared" si="117"/>
        <v>0</v>
      </c>
      <c r="AF422" s="224">
        <f t="shared" si="118"/>
        <v>173.1</v>
      </c>
      <c r="AG422" s="224">
        <f t="shared" si="119"/>
        <v>10.8</v>
      </c>
      <c r="AH422" s="257">
        <f t="shared" si="121"/>
        <v>0</v>
      </c>
      <c r="AI422" s="258">
        <f t="shared" si="122"/>
        <v>0</v>
      </c>
      <c r="AJ422" s="55">
        <f>SUMIFS('tuot-INFO'!W:W,'tuot-INFO'!$A:$A,'tuot-PVÄ'!B422)</f>
        <v>74.027999999999992</v>
      </c>
      <c r="AK422" s="55">
        <f>SUMIFS('tuot-INFO'!X:X,'tuot-INFO'!$A:$A,'tuot-PVÄ'!B422)</f>
        <v>7.960000000000008</v>
      </c>
    </row>
    <row r="423" spans="1:37" x14ac:dyDescent="0.25">
      <c r="A423" s="169">
        <f t="shared" si="120"/>
        <v>42909</v>
      </c>
      <c r="B423" s="23">
        <f>ROUNDUP((A423-Yleistiedot!$B$4)/7,0)</f>
        <v>77</v>
      </c>
      <c r="C423" s="16"/>
      <c r="D423" s="25"/>
      <c r="E423" s="25"/>
      <c r="F423" s="25"/>
      <c r="G423" s="25"/>
      <c r="H423" s="25"/>
      <c r="I423" s="65">
        <f t="shared" si="115"/>
        <v>0</v>
      </c>
      <c r="J423" s="26"/>
      <c r="K423" s="25"/>
      <c r="L423" s="16"/>
      <c r="M423" s="16"/>
      <c r="N423" s="25"/>
      <c r="O423" s="30"/>
      <c r="P423" s="252">
        <f t="shared" si="127"/>
        <v>9990</v>
      </c>
      <c r="Q423" s="253">
        <f t="shared" si="128"/>
        <v>0</v>
      </c>
      <c r="R423" s="253">
        <f t="shared" si="129"/>
        <v>0</v>
      </c>
      <c r="S423" s="251">
        <f>SUMIFS('tuot-rehukirjanpito'!D:D,'tuot-rehukirjanpito'!A:A,A423)</f>
        <v>0</v>
      </c>
      <c r="T423" s="254">
        <f t="shared" si="123"/>
        <v>1098.9000000000001</v>
      </c>
      <c r="U423" s="254">
        <f t="shared" si="124"/>
        <v>1098.8999999999999</v>
      </c>
      <c r="V423" s="252">
        <f t="shared" si="125"/>
        <v>-462636.90000000328</v>
      </c>
      <c r="W423" s="255">
        <f t="shared" si="126"/>
        <v>-421.00000000000296</v>
      </c>
      <c r="X423" s="256" t="str">
        <f t="shared" si="130"/>
        <v/>
      </c>
      <c r="Y423" s="256" t="str">
        <f t="shared" si="131"/>
        <v/>
      </c>
      <c r="Z423" s="224" t="str">
        <f>IF(IFERROR(INDEX('tuot-rehukirjanpito'!I:I,MATCH(A423,'tuot-rehukirjanpito'!G:G,0)),)=0,"",INDEX('tuot-rehukirjanpito'!I:I,MATCH(A423,'tuot-rehukirjanpito'!G:G,0)))</f>
        <v/>
      </c>
      <c r="AA423" s="224">
        <f>SUMIFS('tuot-INFO'!$K$10:$K$115,'tuot-INFO'!$A$10:$A$115,'tuot-PVÄ'!B423)</f>
        <v>66</v>
      </c>
      <c r="AB423" s="224">
        <f>SUMIFS('rehu-vesi-INFO'!$R:$R,'rehu-vesi-INFO'!$A:$A,'tuot-PVÄ'!B423)</f>
        <v>1731</v>
      </c>
      <c r="AC423" s="224">
        <f>SUMIFS('rehu-vesi-INFO'!$S:$S,'rehu-vesi-INFO'!$A:$A,'tuot-PVÄ'!B423)</f>
        <v>1839</v>
      </c>
      <c r="AD423" s="224">
        <f t="shared" si="116"/>
        <v>108</v>
      </c>
      <c r="AE423" s="224">
        <f t="shared" si="117"/>
        <v>0</v>
      </c>
      <c r="AF423" s="224">
        <f t="shared" si="118"/>
        <v>173.1</v>
      </c>
      <c r="AG423" s="224">
        <f t="shared" si="119"/>
        <v>10.8</v>
      </c>
      <c r="AH423" s="257">
        <f t="shared" si="121"/>
        <v>0</v>
      </c>
      <c r="AI423" s="258">
        <f t="shared" si="122"/>
        <v>0</v>
      </c>
      <c r="AJ423" s="55">
        <f>SUMIFS('tuot-INFO'!W:W,'tuot-INFO'!$A:$A,'tuot-PVÄ'!B423)</f>
        <v>74.027999999999992</v>
      </c>
      <c r="AK423" s="55">
        <f>SUMIFS('tuot-INFO'!X:X,'tuot-INFO'!$A:$A,'tuot-PVÄ'!B423)</f>
        <v>7.960000000000008</v>
      </c>
    </row>
    <row r="424" spans="1:37" x14ac:dyDescent="0.25">
      <c r="A424" s="169">
        <f t="shared" si="120"/>
        <v>42910</v>
      </c>
      <c r="B424" s="23">
        <f>ROUNDUP((A424-Yleistiedot!$B$4)/7,0)</f>
        <v>78</v>
      </c>
      <c r="C424" s="16"/>
      <c r="D424" s="25"/>
      <c r="E424" s="25"/>
      <c r="F424" s="25"/>
      <c r="G424" s="25"/>
      <c r="H424" s="25"/>
      <c r="I424" s="65">
        <f t="shared" si="115"/>
        <v>0</v>
      </c>
      <c r="J424" s="26"/>
      <c r="K424" s="25"/>
      <c r="L424" s="16"/>
      <c r="M424" s="16"/>
      <c r="N424" s="25"/>
      <c r="O424" s="30"/>
      <c r="P424" s="252">
        <f t="shared" si="127"/>
        <v>9990</v>
      </c>
      <c r="Q424" s="253">
        <f t="shared" si="128"/>
        <v>0</v>
      </c>
      <c r="R424" s="253">
        <f t="shared" si="129"/>
        <v>0</v>
      </c>
      <c r="S424" s="251">
        <f>SUMIFS('tuot-rehukirjanpito'!D:D,'tuot-rehukirjanpito'!A:A,A424)</f>
        <v>0</v>
      </c>
      <c r="T424" s="254">
        <f t="shared" si="123"/>
        <v>1098.9000000000001</v>
      </c>
      <c r="U424" s="254">
        <f t="shared" si="124"/>
        <v>1098.8999999999999</v>
      </c>
      <c r="V424" s="252">
        <f t="shared" si="125"/>
        <v>-463735.80000000331</v>
      </c>
      <c r="W424" s="255">
        <f t="shared" si="126"/>
        <v>-422.00000000000296</v>
      </c>
      <c r="X424" s="256" t="str">
        <f t="shared" si="130"/>
        <v/>
      </c>
      <c r="Y424" s="256" t="str">
        <f t="shared" si="131"/>
        <v/>
      </c>
      <c r="Z424" s="224" t="str">
        <f>IF(IFERROR(INDEX('tuot-rehukirjanpito'!I:I,MATCH(A424,'tuot-rehukirjanpito'!G:G,0)),)=0,"",INDEX('tuot-rehukirjanpito'!I:I,MATCH(A424,'tuot-rehukirjanpito'!G:G,0)))</f>
        <v/>
      </c>
      <c r="AA424" s="224">
        <f>SUMIFS('tuot-INFO'!$K$10:$K$115,'tuot-INFO'!$A$10:$A$115,'tuot-PVÄ'!B424)</f>
        <v>66</v>
      </c>
      <c r="AB424" s="224">
        <f>SUMIFS('rehu-vesi-INFO'!$R:$R,'rehu-vesi-INFO'!$A:$A,'tuot-PVÄ'!B424)</f>
        <v>1732</v>
      </c>
      <c r="AC424" s="224">
        <f>SUMIFS('rehu-vesi-INFO'!$S:$S,'rehu-vesi-INFO'!$A:$A,'tuot-PVÄ'!B424)</f>
        <v>1840</v>
      </c>
      <c r="AD424" s="224">
        <f t="shared" si="116"/>
        <v>108</v>
      </c>
      <c r="AE424" s="224">
        <f t="shared" si="117"/>
        <v>0</v>
      </c>
      <c r="AF424" s="224">
        <f t="shared" si="118"/>
        <v>173.2</v>
      </c>
      <c r="AG424" s="224">
        <f t="shared" si="119"/>
        <v>10.8</v>
      </c>
      <c r="AH424" s="257">
        <f t="shared" si="121"/>
        <v>0</v>
      </c>
      <c r="AI424" s="258">
        <f t="shared" si="122"/>
        <v>0</v>
      </c>
      <c r="AJ424" s="55">
        <f>SUMIFS('tuot-INFO'!W:W,'tuot-INFO'!$A:$A,'tuot-PVÄ'!B424)</f>
        <v>73.47</v>
      </c>
      <c r="AK424" s="55">
        <f>SUMIFS('tuot-INFO'!X:X,'tuot-INFO'!$A:$A,'tuot-PVÄ'!B424)</f>
        <v>7.9000000000000057</v>
      </c>
    </row>
    <row r="425" spans="1:37" x14ac:dyDescent="0.25">
      <c r="A425" s="169">
        <f t="shared" si="120"/>
        <v>42911</v>
      </c>
      <c r="B425" s="23">
        <f>ROUNDUP((A425-Yleistiedot!$B$4)/7,0)</f>
        <v>78</v>
      </c>
      <c r="C425" s="16"/>
      <c r="D425" s="25"/>
      <c r="E425" s="25"/>
      <c r="F425" s="25"/>
      <c r="G425" s="25"/>
      <c r="H425" s="25"/>
      <c r="I425" s="65">
        <f t="shared" si="115"/>
        <v>0</v>
      </c>
      <c r="J425" s="26"/>
      <c r="K425" s="25"/>
      <c r="L425" s="16"/>
      <c r="M425" s="16"/>
      <c r="N425" s="25"/>
      <c r="O425" s="30"/>
      <c r="P425" s="252">
        <f t="shared" si="127"/>
        <v>9990</v>
      </c>
      <c r="Q425" s="253">
        <f t="shared" si="128"/>
        <v>0</v>
      </c>
      <c r="R425" s="253">
        <f t="shared" si="129"/>
        <v>0</v>
      </c>
      <c r="S425" s="251">
        <f>SUMIFS('tuot-rehukirjanpito'!D:D,'tuot-rehukirjanpito'!A:A,A425)</f>
        <v>0</v>
      </c>
      <c r="T425" s="254">
        <f t="shared" si="123"/>
        <v>1098.9000000000001</v>
      </c>
      <c r="U425" s="254">
        <f t="shared" si="124"/>
        <v>1098.8999999999999</v>
      </c>
      <c r="V425" s="252">
        <f t="shared" si="125"/>
        <v>-464834.70000000333</v>
      </c>
      <c r="W425" s="255">
        <f t="shared" si="126"/>
        <v>-423.00000000000301</v>
      </c>
      <c r="X425" s="256" t="str">
        <f t="shared" si="130"/>
        <v/>
      </c>
      <c r="Y425" s="256" t="str">
        <f t="shared" si="131"/>
        <v/>
      </c>
      <c r="Z425" s="224" t="str">
        <f>IF(IFERROR(INDEX('tuot-rehukirjanpito'!I:I,MATCH(A425,'tuot-rehukirjanpito'!G:G,0)),)=0,"",INDEX('tuot-rehukirjanpito'!I:I,MATCH(A425,'tuot-rehukirjanpito'!G:G,0)))</f>
        <v/>
      </c>
      <c r="AA425" s="224">
        <f>SUMIFS('tuot-INFO'!$K$10:$K$115,'tuot-INFO'!$A$10:$A$115,'tuot-PVÄ'!B425)</f>
        <v>66</v>
      </c>
      <c r="AB425" s="224">
        <f>SUMIFS('rehu-vesi-INFO'!$R:$R,'rehu-vesi-INFO'!$A:$A,'tuot-PVÄ'!B425)</f>
        <v>1732</v>
      </c>
      <c r="AC425" s="224">
        <f>SUMIFS('rehu-vesi-INFO'!$S:$S,'rehu-vesi-INFO'!$A:$A,'tuot-PVÄ'!B425)</f>
        <v>1840</v>
      </c>
      <c r="AD425" s="224">
        <f t="shared" si="116"/>
        <v>108</v>
      </c>
      <c r="AE425" s="224">
        <f t="shared" si="117"/>
        <v>0</v>
      </c>
      <c r="AF425" s="224">
        <f t="shared" si="118"/>
        <v>173.2</v>
      </c>
      <c r="AG425" s="224">
        <f t="shared" si="119"/>
        <v>10.8</v>
      </c>
      <c r="AH425" s="257">
        <f t="shared" si="121"/>
        <v>0</v>
      </c>
      <c r="AI425" s="258">
        <f t="shared" si="122"/>
        <v>0</v>
      </c>
      <c r="AJ425" s="55">
        <f>SUMIFS('tuot-INFO'!W:W,'tuot-INFO'!$A:$A,'tuot-PVÄ'!B425)</f>
        <v>73.47</v>
      </c>
      <c r="AK425" s="55">
        <f>SUMIFS('tuot-INFO'!X:X,'tuot-INFO'!$A:$A,'tuot-PVÄ'!B425)</f>
        <v>7.9000000000000057</v>
      </c>
    </row>
    <row r="426" spans="1:37" x14ac:dyDescent="0.25">
      <c r="A426" s="169">
        <f t="shared" si="120"/>
        <v>42912</v>
      </c>
      <c r="B426" s="23">
        <f>ROUNDUP((A426-Yleistiedot!$B$4)/7,0)</f>
        <v>78</v>
      </c>
      <c r="C426" s="16"/>
      <c r="D426" s="25"/>
      <c r="E426" s="25"/>
      <c r="F426" s="25"/>
      <c r="G426" s="25"/>
      <c r="H426" s="25"/>
      <c r="I426" s="65">
        <f t="shared" si="115"/>
        <v>0</v>
      </c>
      <c r="J426" s="26"/>
      <c r="K426" s="25"/>
      <c r="L426" s="16"/>
      <c r="M426" s="16"/>
      <c r="N426" s="25"/>
      <c r="O426" s="30"/>
      <c r="P426" s="252">
        <f t="shared" si="127"/>
        <v>9990</v>
      </c>
      <c r="Q426" s="253">
        <f t="shared" si="128"/>
        <v>0</v>
      </c>
      <c r="R426" s="253">
        <f t="shared" si="129"/>
        <v>0</v>
      </c>
      <c r="S426" s="251">
        <f>SUMIFS('tuot-rehukirjanpito'!D:D,'tuot-rehukirjanpito'!A:A,A426)</f>
        <v>0</v>
      </c>
      <c r="T426" s="254">
        <f t="shared" si="123"/>
        <v>1098.9000000000001</v>
      </c>
      <c r="U426" s="254">
        <f t="shared" si="124"/>
        <v>1098.8999999999999</v>
      </c>
      <c r="V426" s="252">
        <f t="shared" si="125"/>
        <v>-465933.60000000335</v>
      </c>
      <c r="W426" s="255">
        <f t="shared" si="126"/>
        <v>-424.00000000000301</v>
      </c>
      <c r="X426" s="256" t="str">
        <f t="shared" si="130"/>
        <v/>
      </c>
      <c r="Y426" s="256" t="str">
        <f t="shared" si="131"/>
        <v/>
      </c>
      <c r="Z426" s="224" t="str">
        <f>IF(IFERROR(INDEX('tuot-rehukirjanpito'!I:I,MATCH(A426,'tuot-rehukirjanpito'!G:G,0)),)=0,"",INDEX('tuot-rehukirjanpito'!I:I,MATCH(A426,'tuot-rehukirjanpito'!G:G,0)))</f>
        <v/>
      </c>
      <c r="AA426" s="224">
        <f>SUMIFS('tuot-INFO'!$K$10:$K$115,'tuot-INFO'!$A$10:$A$115,'tuot-PVÄ'!B426)</f>
        <v>66</v>
      </c>
      <c r="AB426" s="224">
        <f>SUMIFS('rehu-vesi-INFO'!$R:$R,'rehu-vesi-INFO'!$A:$A,'tuot-PVÄ'!B426)</f>
        <v>1732</v>
      </c>
      <c r="AC426" s="224">
        <f>SUMIFS('rehu-vesi-INFO'!$S:$S,'rehu-vesi-INFO'!$A:$A,'tuot-PVÄ'!B426)</f>
        <v>1840</v>
      </c>
      <c r="AD426" s="224">
        <f t="shared" si="116"/>
        <v>108</v>
      </c>
      <c r="AE426" s="224">
        <f t="shared" si="117"/>
        <v>0</v>
      </c>
      <c r="AF426" s="224">
        <f t="shared" si="118"/>
        <v>173.2</v>
      </c>
      <c r="AG426" s="224">
        <f t="shared" si="119"/>
        <v>10.8</v>
      </c>
      <c r="AH426" s="257">
        <f t="shared" si="121"/>
        <v>0</v>
      </c>
      <c r="AI426" s="258">
        <f t="shared" si="122"/>
        <v>0</v>
      </c>
      <c r="AJ426" s="55">
        <f>SUMIFS('tuot-INFO'!W:W,'tuot-INFO'!$A:$A,'tuot-PVÄ'!B426)</f>
        <v>73.47</v>
      </c>
      <c r="AK426" s="55">
        <f>SUMIFS('tuot-INFO'!X:X,'tuot-INFO'!$A:$A,'tuot-PVÄ'!B426)</f>
        <v>7.9000000000000057</v>
      </c>
    </row>
    <row r="427" spans="1:37" x14ac:dyDescent="0.25">
      <c r="A427" s="169">
        <f t="shared" si="120"/>
        <v>42913</v>
      </c>
      <c r="B427" s="23">
        <f>ROUNDUP((A427-Yleistiedot!$B$4)/7,0)</f>
        <v>78</v>
      </c>
      <c r="C427" s="16"/>
      <c r="D427" s="25"/>
      <c r="E427" s="25"/>
      <c r="F427" s="25"/>
      <c r="G427" s="25"/>
      <c r="H427" s="25"/>
      <c r="I427" s="65">
        <f t="shared" si="115"/>
        <v>0</v>
      </c>
      <c r="J427" s="26"/>
      <c r="K427" s="25"/>
      <c r="L427" s="16"/>
      <c r="M427" s="16"/>
      <c r="N427" s="25"/>
      <c r="O427" s="30"/>
      <c r="P427" s="252">
        <f t="shared" si="127"/>
        <v>9990</v>
      </c>
      <c r="Q427" s="253">
        <f t="shared" si="128"/>
        <v>0</v>
      </c>
      <c r="R427" s="253">
        <f t="shared" si="129"/>
        <v>0</v>
      </c>
      <c r="S427" s="251">
        <f>SUMIFS('tuot-rehukirjanpito'!D:D,'tuot-rehukirjanpito'!A:A,A427)</f>
        <v>0</v>
      </c>
      <c r="T427" s="254">
        <f t="shared" si="123"/>
        <v>1098.9000000000001</v>
      </c>
      <c r="U427" s="254">
        <f t="shared" si="124"/>
        <v>1098.8999999999999</v>
      </c>
      <c r="V427" s="252">
        <f t="shared" si="125"/>
        <v>-467032.50000000338</v>
      </c>
      <c r="W427" s="255">
        <f t="shared" si="126"/>
        <v>-425.00000000000301</v>
      </c>
      <c r="X427" s="256" t="str">
        <f t="shared" si="130"/>
        <v/>
      </c>
      <c r="Y427" s="256" t="str">
        <f t="shared" si="131"/>
        <v/>
      </c>
      <c r="Z427" s="224" t="str">
        <f>IF(IFERROR(INDEX('tuot-rehukirjanpito'!I:I,MATCH(A427,'tuot-rehukirjanpito'!G:G,0)),)=0,"",INDEX('tuot-rehukirjanpito'!I:I,MATCH(A427,'tuot-rehukirjanpito'!G:G,0)))</f>
        <v/>
      </c>
      <c r="AA427" s="224">
        <f>SUMIFS('tuot-INFO'!$K$10:$K$115,'tuot-INFO'!$A$10:$A$115,'tuot-PVÄ'!B427)</f>
        <v>66</v>
      </c>
      <c r="AB427" s="224">
        <f>SUMIFS('rehu-vesi-INFO'!$R:$R,'rehu-vesi-INFO'!$A:$A,'tuot-PVÄ'!B427)</f>
        <v>1732</v>
      </c>
      <c r="AC427" s="224">
        <f>SUMIFS('rehu-vesi-INFO'!$S:$S,'rehu-vesi-INFO'!$A:$A,'tuot-PVÄ'!B427)</f>
        <v>1840</v>
      </c>
      <c r="AD427" s="224">
        <f t="shared" si="116"/>
        <v>108</v>
      </c>
      <c r="AE427" s="224">
        <f t="shared" si="117"/>
        <v>0</v>
      </c>
      <c r="AF427" s="224">
        <f t="shared" si="118"/>
        <v>173.2</v>
      </c>
      <c r="AG427" s="224">
        <f t="shared" si="119"/>
        <v>10.8</v>
      </c>
      <c r="AH427" s="257">
        <f t="shared" si="121"/>
        <v>0</v>
      </c>
      <c r="AI427" s="258">
        <f t="shared" si="122"/>
        <v>0</v>
      </c>
      <c r="AJ427" s="55">
        <f>SUMIFS('tuot-INFO'!W:W,'tuot-INFO'!$A:$A,'tuot-PVÄ'!B427)</f>
        <v>73.47</v>
      </c>
      <c r="AK427" s="55">
        <f>SUMIFS('tuot-INFO'!X:X,'tuot-INFO'!$A:$A,'tuot-PVÄ'!B427)</f>
        <v>7.9000000000000057</v>
      </c>
    </row>
    <row r="428" spans="1:37" x14ac:dyDescent="0.25">
      <c r="A428" s="169">
        <f t="shared" si="120"/>
        <v>42914</v>
      </c>
      <c r="B428" s="23">
        <f>ROUNDUP((A428-Yleistiedot!$B$4)/7,0)</f>
        <v>78</v>
      </c>
      <c r="C428" s="16"/>
      <c r="D428" s="25"/>
      <c r="E428" s="25"/>
      <c r="F428" s="25"/>
      <c r="G428" s="25"/>
      <c r="H428" s="25"/>
      <c r="I428" s="65">
        <f t="shared" si="115"/>
        <v>0</v>
      </c>
      <c r="J428" s="26"/>
      <c r="K428" s="25"/>
      <c r="L428" s="16"/>
      <c r="M428" s="16"/>
      <c r="N428" s="25"/>
      <c r="O428" s="30"/>
      <c r="P428" s="252">
        <f t="shared" si="127"/>
        <v>9990</v>
      </c>
      <c r="Q428" s="253">
        <f t="shared" si="128"/>
        <v>0</v>
      </c>
      <c r="R428" s="253">
        <f t="shared" si="129"/>
        <v>0</v>
      </c>
      <c r="S428" s="251">
        <f>SUMIFS('tuot-rehukirjanpito'!D:D,'tuot-rehukirjanpito'!A:A,A428)</f>
        <v>0</v>
      </c>
      <c r="T428" s="254">
        <f t="shared" si="123"/>
        <v>1098.9000000000001</v>
      </c>
      <c r="U428" s="254">
        <f t="shared" si="124"/>
        <v>1098.8999999999999</v>
      </c>
      <c r="V428" s="252">
        <f t="shared" si="125"/>
        <v>-468131.4000000034</v>
      </c>
      <c r="W428" s="255">
        <f t="shared" si="126"/>
        <v>-426.00000000000307</v>
      </c>
      <c r="X428" s="256" t="str">
        <f t="shared" si="130"/>
        <v/>
      </c>
      <c r="Y428" s="256" t="str">
        <f t="shared" si="131"/>
        <v/>
      </c>
      <c r="Z428" s="224" t="str">
        <f>IF(IFERROR(INDEX('tuot-rehukirjanpito'!I:I,MATCH(A428,'tuot-rehukirjanpito'!G:G,0)),)=0,"",INDEX('tuot-rehukirjanpito'!I:I,MATCH(A428,'tuot-rehukirjanpito'!G:G,0)))</f>
        <v/>
      </c>
      <c r="AA428" s="224">
        <f>SUMIFS('tuot-INFO'!$K$10:$K$115,'tuot-INFO'!$A$10:$A$115,'tuot-PVÄ'!B428)</f>
        <v>66</v>
      </c>
      <c r="AB428" s="224">
        <f>SUMIFS('rehu-vesi-INFO'!$R:$R,'rehu-vesi-INFO'!$A:$A,'tuot-PVÄ'!B428)</f>
        <v>1732</v>
      </c>
      <c r="AC428" s="224">
        <f>SUMIFS('rehu-vesi-INFO'!$S:$S,'rehu-vesi-INFO'!$A:$A,'tuot-PVÄ'!B428)</f>
        <v>1840</v>
      </c>
      <c r="AD428" s="224">
        <f t="shared" si="116"/>
        <v>108</v>
      </c>
      <c r="AE428" s="224">
        <f t="shared" si="117"/>
        <v>0</v>
      </c>
      <c r="AF428" s="224">
        <f t="shared" si="118"/>
        <v>173.2</v>
      </c>
      <c r="AG428" s="224">
        <f t="shared" si="119"/>
        <v>10.8</v>
      </c>
      <c r="AH428" s="257">
        <f t="shared" si="121"/>
        <v>0</v>
      </c>
      <c r="AI428" s="258">
        <f t="shared" si="122"/>
        <v>0</v>
      </c>
      <c r="AJ428" s="55">
        <f>SUMIFS('tuot-INFO'!W:W,'tuot-INFO'!$A:$A,'tuot-PVÄ'!B428)</f>
        <v>73.47</v>
      </c>
      <c r="AK428" s="55">
        <f>SUMIFS('tuot-INFO'!X:X,'tuot-INFO'!$A:$A,'tuot-PVÄ'!B428)</f>
        <v>7.9000000000000057</v>
      </c>
    </row>
    <row r="429" spans="1:37" x14ac:dyDescent="0.25">
      <c r="A429" s="169">
        <f t="shared" si="120"/>
        <v>42915</v>
      </c>
      <c r="B429" s="23">
        <f>ROUNDUP((A429-Yleistiedot!$B$4)/7,0)</f>
        <v>78</v>
      </c>
      <c r="C429" s="16"/>
      <c r="D429" s="25"/>
      <c r="E429" s="25"/>
      <c r="F429" s="25"/>
      <c r="G429" s="25"/>
      <c r="H429" s="25"/>
      <c r="I429" s="65">
        <f t="shared" si="115"/>
        <v>0</v>
      </c>
      <c r="J429" s="26"/>
      <c r="K429" s="25"/>
      <c r="L429" s="16"/>
      <c r="M429" s="16"/>
      <c r="N429" s="25"/>
      <c r="O429" s="30"/>
      <c r="P429" s="252">
        <f t="shared" si="127"/>
        <v>9990</v>
      </c>
      <c r="Q429" s="253">
        <f t="shared" si="128"/>
        <v>0</v>
      </c>
      <c r="R429" s="253">
        <f t="shared" si="129"/>
        <v>0</v>
      </c>
      <c r="S429" s="251">
        <f>SUMIFS('tuot-rehukirjanpito'!D:D,'tuot-rehukirjanpito'!A:A,A429)</f>
        <v>0</v>
      </c>
      <c r="T429" s="254">
        <f t="shared" si="123"/>
        <v>1098.9000000000001</v>
      </c>
      <c r="U429" s="254">
        <f t="shared" si="124"/>
        <v>1098.8999999999999</v>
      </c>
      <c r="V429" s="252">
        <f t="shared" si="125"/>
        <v>-469230.30000000342</v>
      </c>
      <c r="W429" s="255">
        <f t="shared" si="126"/>
        <v>-427.00000000000307</v>
      </c>
      <c r="X429" s="256" t="str">
        <f t="shared" si="130"/>
        <v/>
      </c>
      <c r="Y429" s="256" t="str">
        <f t="shared" si="131"/>
        <v/>
      </c>
      <c r="Z429" s="224" t="str">
        <f>IF(IFERROR(INDEX('tuot-rehukirjanpito'!I:I,MATCH(A429,'tuot-rehukirjanpito'!G:G,0)),)=0,"",INDEX('tuot-rehukirjanpito'!I:I,MATCH(A429,'tuot-rehukirjanpito'!G:G,0)))</f>
        <v/>
      </c>
      <c r="AA429" s="224">
        <f>SUMIFS('tuot-INFO'!$K$10:$K$115,'tuot-INFO'!$A$10:$A$115,'tuot-PVÄ'!B429)</f>
        <v>66</v>
      </c>
      <c r="AB429" s="224">
        <f>SUMIFS('rehu-vesi-INFO'!$R:$R,'rehu-vesi-INFO'!$A:$A,'tuot-PVÄ'!B429)</f>
        <v>1732</v>
      </c>
      <c r="AC429" s="224">
        <f>SUMIFS('rehu-vesi-INFO'!$S:$S,'rehu-vesi-INFO'!$A:$A,'tuot-PVÄ'!B429)</f>
        <v>1840</v>
      </c>
      <c r="AD429" s="224">
        <f t="shared" si="116"/>
        <v>108</v>
      </c>
      <c r="AE429" s="224">
        <f t="shared" si="117"/>
        <v>0</v>
      </c>
      <c r="AF429" s="224">
        <f t="shared" si="118"/>
        <v>173.2</v>
      </c>
      <c r="AG429" s="224">
        <f t="shared" si="119"/>
        <v>10.8</v>
      </c>
      <c r="AH429" s="257">
        <f t="shared" si="121"/>
        <v>0</v>
      </c>
      <c r="AI429" s="258">
        <f t="shared" si="122"/>
        <v>0</v>
      </c>
      <c r="AJ429" s="55">
        <f>SUMIFS('tuot-INFO'!W:W,'tuot-INFO'!$A:$A,'tuot-PVÄ'!B429)</f>
        <v>73.47</v>
      </c>
      <c r="AK429" s="55">
        <f>SUMIFS('tuot-INFO'!X:X,'tuot-INFO'!$A:$A,'tuot-PVÄ'!B429)</f>
        <v>7.9000000000000057</v>
      </c>
    </row>
    <row r="430" spans="1:37" x14ac:dyDescent="0.25">
      <c r="A430" s="169">
        <f t="shared" si="120"/>
        <v>42916</v>
      </c>
      <c r="B430" s="23">
        <f>ROUNDUP((A430-Yleistiedot!$B$4)/7,0)</f>
        <v>78</v>
      </c>
      <c r="C430" s="16"/>
      <c r="D430" s="25"/>
      <c r="E430" s="25"/>
      <c r="F430" s="25"/>
      <c r="G430" s="25"/>
      <c r="H430" s="25"/>
      <c r="I430" s="65">
        <f t="shared" si="115"/>
        <v>0</v>
      </c>
      <c r="J430" s="26"/>
      <c r="K430" s="25"/>
      <c r="L430" s="16"/>
      <c r="M430" s="16"/>
      <c r="N430" s="25"/>
      <c r="O430" s="30"/>
      <c r="P430" s="252">
        <f t="shared" si="127"/>
        <v>9990</v>
      </c>
      <c r="Q430" s="253">
        <f t="shared" si="128"/>
        <v>0</v>
      </c>
      <c r="R430" s="253">
        <f t="shared" si="129"/>
        <v>0</v>
      </c>
      <c r="S430" s="251">
        <f>SUMIFS('tuot-rehukirjanpito'!D:D,'tuot-rehukirjanpito'!A:A,A430)</f>
        <v>0</v>
      </c>
      <c r="T430" s="254">
        <f t="shared" si="123"/>
        <v>1098.9000000000001</v>
      </c>
      <c r="U430" s="254">
        <f t="shared" si="124"/>
        <v>1098.8999999999999</v>
      </c>
      <c r="V430" s="252">
        <f t="shared" si="125"/>
        <v>-470329.20000000345</v>
      </c>
      <c r="W430" s="255">
        <f t="shared" si="126"/>
        <v>-428.00000000000313</v>
      </c>
      <c r="X430" s="256" t="str">
        <f t="shared" si="130"/>
        <v/>
      </c>
      <c r="Y430" s="256" t="str">
        <f t="shared" si="131"/>
        <v/>
      </c>
      <c r="Z430" s="224" t="str">
        <f>IF(IFERROR(INDEX('tuot-rehukirjanpito'!I:I,MATCH(A430,'tuot-rehukirjanpito'!G:G,0)),)=0,"",INDEX('tuot-rehukirjanpito'!I:I,MATCH(A430,'tuot-rehukirjanpito'!G:G,0)))</f>
        <v/>
      </c>
      <c r="AA430" s="224">
        <f>SUMIFS('tuot-INFO'!$K$10:$K$115,'tuot-INFO'!$A$10:$A$115,'tuot-PVÄ'!B430)</f>
        <v>66</v>
      </c>
      <c r="AB430" s="224">
        <f>SUMIFS('rehu-vesi-INFO'!$R:$R,'rehu-vesi-INFO'!$A:$A,'tuot-PVÄ'!B430)</f>
        <v>1732</v>
      </c>
      <c r="AC430" s="224">
        <f>SUMIFS('rehu-vesi-INFO'!$S:$S,'rehu-vesi-INFO'!$A:$A,'tuot-PVÄ'!B430)</f>
        <v>1840</v>
      </c>
      <c r="AD430" s="224">
        <f t="shared" si="116"/>
        <v>108</v>
      </c>
      <c r="AE430" s="224">
        <f t="shared" si="117"/>
        <v>0</v>
      </c>
      <c r="AF430" s="224">
        <f t="shared" si="118"/>
        <v>173.2</v>
      </c>
      <c r="AG430" s="224">
        <f t="shared" si="119"/>
        <v>10.8</v>
      </c>
      <c r="AH430" s="257">
        <f t="shared" si="121"/>
        <v>0</v>
      </c>
      <c r="AI430" s="258">
        <f t="shared" si="122"/>
        <v>0</v>
      </c>
      <c r="AJ430" s="55">
        <f>SUMIFS('tuot-INFO'!W:W,'tuot-INFO'!$A:$A,'tuot-PVÄ'!B430)</f>
        <v>73.47</v>
      </c>
      <c r="AK430" s="55">
        <f>SUMIFS('tuot-INFO'!X:X,'tuot-INFO'!$A:$A,'tuot-PVÄ'!B430)</f>
        <v>7.9000000000000057</v>
      </c>
    </row>
    <row r="431" spans="1:37" x14ac:dyDescent="0.25">
      <c r="A431" s="169">
        <f t="shared" si="120"/>
        <v>42917</v>
      </c>
      <c r="B431" s="23">
        <f>ROUNDUP((A431-Yleistiedot!$B$4)/7,0)</f>
        <v>79</v>
      </c>
      <c r="C431" s="16"/>
      <c r="D431" s="25"/>
      <c r="E431" s="25"/>
      <c r="F431" s="25"/>
      <c r="G431" s="25"/>
      <c r="H431" s="25"/>
      <c r="I431" s="65">
        <f t="shared" si="115"/>
        <v>0</v>
      </c>
      <c r="J431" s="26"/>
      <c r="K431" s="25"/>
      <c r="L431" s="16"/>
      <c r="M431" s="16"/>
      <c r="N431" s="25"/>
      <c r="O431" s="30"/>
      <c r="P431" s="252">
        <f t="shared" si="127"/>
        <v>9990</v>
      </c>
      <c r="Q431" s="253">
        <f t="shared" si="128"/>
        <v>0</v>
      </c>
      <c r="R431" s="253">
        <f t="shared" si="129"/>
        <v>0</v>
      </c>
      <c r="S431" s="251">
        <f>SUMIFS('tuot-rehukirjanpito'!D:D,'tuot-rehukirjanpito'!A:A,A431)</f>
        <v>0</v>
      </c>
      <c r="T431" s="254">
        <f t="shared" si="123"/>
        <v>1098.9000000000001</v>
      </c>
      <c r="U431" s="254">
        <f t="shared" si="124"/>
        <v>1098.8999999999999</v>
      </c>
      <c r="V431" s="252">
        <f t="shared" si="125"/>
        <v>-471428.10000000347</v>
      </c>
      <c r="W431" s="255">
        <f t="shared" si="126"/>
        <v>-429.00000000000313</v>
      </c>
      <c r="X431" s="256" t="str">
        <f t="shared" si="130"/>
        <v/>
      </c>
      <c r="Y431" s="256" t="str">
        <f t="shared" si="131"/>
        <v/>
      </c>
      <c r="Z431" s="224" t="str">
        <f>IF(IFERROR(INDEX('tuot-rehukirjanpito'!I:I,MATCH(A431,'tuot-rehukirjanpito'!G:G,0)),)=0,"",INDEX('tuot-rehukirjanpito'!I:I,MATCH(A431,'tuot-rehukirjanpito'!G:G,0)))</f>
        <v/>
      </c>
      <c r="AA431" s="224">
        <f>SUMIFS('tuot-INFO'!$K$10:$K$115,'tuot-INFO'!$A$10:$A$115,'tuot-PVÄ'!B431)</f>
        <v>66</v>
      </c>
      <c r="AB431" s="224">
        <f>SUMIFS('rehu-vesi-INFO'!$R:$R,'rehu-vesi-INFO'!$A:$A,'tuot-PVÄ'!B431)</f>
        <v>1733</v>
      </c>
      <c r="AC431" s="224">
        <f>SUMIFS('rehu-vesi-INFO'!$S:$S,'rehu-vesi-INFO'!$A:$A,'tuot-PVÄ'!B431)</f>
        <v>1841</v>
      </c>
      <c r="AD431" s="224">
        <f t="shared" si="116"/>
        <v>108</v>
      </c>
      <c r="AE431" s="224">
        <f t="shared" si="117"/>
        <v>0</v>
      </c>
      <c r="AF431" s="224">
        <f t="shared" si="118"/>
        <v>173.3</v>
      </c>
      <c r="AG431" s="224">
        <f t="shared" si="119"/>
        <v>10.8</v>
      </c>
      <c r="AH431" s="257">
        <f t="shared" si="121"/>
        <v>0</v>
      </c>
      <c r="AI431" s="258">
        <f t="shared" si="122"/>
        <v>0</v>
      </c>
      <c r="AJ431" s="55">
        <f>SUMIFS('tuot-INFO'!W:W,'tuot-INFO'!$A:$A,'tuot-PVÄ'!B431)</f>
        <v>72.912000000000006</v>
      </c>
      <c r="AK431" s="55">
        <f>SUMIFS('tuot-INFO'!X:X,'tuot-INFO'!$A:$A,'tuot-PVÄ'!B431)</f>
        <v>7.8400000000000034</v>
      </c>
    </row>
    <row r="432" spans="1:37" x14ac:dyDescent="0.25">
      <c r="A432" s="169">
        <f t="shared" si="120"/>
        <v>42918</v>
      </c>
      <c r="B432" s="23">
        <f>ROUNDUP((A432-Yleistiedot!$B$4)/7,0)</f>
        <v>79</v>
      </c>
      <c r="C432" s="16"/>
      <c r="D432" s="25"/>
      <c r="E432" s="25"/>
      <c r="F432" s="25"/>
      <c r="G432" s="25"/>
      <c r="H432" s="25"/>
      <c r="I432" s="65">
        <f t="shared" si="115"/>
        <v>0</v>
      </c>
      <c r="J432" s="26"/>
      <c r="K432" s="25"/>
      <c r="L432" s="16"/>
      <c r="M432" s="16"/>
      <c r="N432" s="25"/>
      <c r="O432" s="30"/>
      <c r="P432" s="252">
        <f t="shared" si="127"/>
        <v>9990</v>
      </c>
      <c r="Q432" s="253">
        <f t="shared" si="128"/>
        <v>0</v>
      </c>
      <c r="R432" s="253">
        <f t="shared" si="129"/>
        <v>0</v>
      </c>
      <c r="S432" s="251">
        <f>SUMIFS('tuot-rehukirjanpito'!D:D,'tuot-rehukirjanpito'!A:A,A432)</f>
        <v>0</v>
      </c>
      <c r="T432" s="254">
        <f t="shared" si="123"/>
        <v>1098.9000000000001</v>
      </c>
      <c r="U432" s="254">
        <f t="shared" si="124"/>
        <v>1098.8999999999999</v>
      </c>
      <c r="V432" s="252">
        <f t="shared" si="125"/>
        <v>-472527.00000000349</v>
      </c>
      <c r="W432" s="255">
        <f t="shared" si="126"/>
        <v>-430.00000000000313</v>
      </c>
      <c r="X432" s="256" t="str">
        <f t="shared" si="130"/>
        <v/>
      </c>
      <c r="Y432" s="256" t="str">
        <f t="shared" si="131"/>
        <v/>
      </c>
      <c r="Z432" s="224" t="str">
        <f>IF(IFERROR(INDEX('tuot-rehukirjanpito'!I:I,MATCH(A432,'tuot-rehukirjanpito'!G:G,0)),)=0,"",INDEX('tuot-rehukirjanpito'!I:I,MATCH(A432,'tuot-rehukirjanpito'!G:G,0)))</f>
        <v/>
      </c>
      <c r="AA432" s="224">
        <f>SUMIFS('tuot-INFO'!$K$10:$K$115,'tuot-INFO'!$A$10:$A$115,'tuot-PVÄ'!B432)</f>
        <v>66</v>
      </c>
      <c r="AB432" s="224">
        <f>SUMIFS('rehu-vesi-INFO'!$R:$R,'rehu-vesi-INFO'!$A:$A,'tuot-PVÄ'!B432)</f>
        <v>1733</v>
      </c>
      <c r="AC432" s="224">
        <f>SUMIFS('rehu-vesi-INFO'!$S:$S,'rehu-vesi-INFO'!$A:$A,'tuot-PVÄ'!B432)</f>
        <v>1841</v>
      </c>
      <c r="AD432" s="224">
        <f t="shared" si="116"/>
        <v>108</v>
      </c>
      <c r="AE432" s="224">
        <f t="shared" si="117"/>
        <v>0</v>
      </c>
      <c r="AF432" s="224">
        <f t="shared" si="118"/>
        <v>173.3</v>
      </c>
      <c r="AG432" s="224">
        <f t="shared" si="119"/>
        <v>10.8</v>
      </c>
      <c r="AH432" s="257">
        <f t="shared" si="121"/>
        <v>0</v>
      </c>
      <c r="AI432" s="258">
        <f t="shared" si="122"/>
        <v>0</v>
      </c>
      <c r="AJ432" s="55">
        <f>SUMIFS('tuot-INFO'!W:W,'tuot-INFO'!$A:$A,'tuot-PVÄ'!B432)</f>
        <v>72.912000000000006</v>
      </c>
      <c r="AK432" s="55">
        <f>SUMIFS('tuot-INFO'!X:X,'tuot-INFO'!$A:$A,'tuot-PVÄ'!B432)</f>
        <v>7.8400000000000034</v>
      </c>
    </row>
    <row r="433" spans="1:37" x14ac:dyDescent="0.25">
      <c r="A433" s="169">
        <f t="shared" si="120"/>
        <v>42919</v>
      </c>
      <c r="B433" s="23">
        <f>ROUNDUP((A433-Yleistiedot!$B$4)/7,0)</f>
        <v>79</v>
      </c>
      <c r="C433" s="16"/>
      <c r="D433" s="25"/>
      <c r="E433" s="25"/>
      <c r="F433" s="25"/>
      <c r="G433" s="25"/>
      <c r="H433" s="25"/>
      <c r="I433" s="65">
        <f t="shared" si="115"/>
        <v>0</v>
      </c>
      <c r="J433" s="26"/>
      <c r="K433" s="25"/>
      <c r="L433" s="16"/>
      <c r="M433" s="16"/>
      <c r="N433" s="25"/>
      <c r="O433" s="30"/>
      <c r="P433" s="252">
        <f t="shared" si="127"/>
        <v>9990</v>
      </c>
      <c r="Q433" s="253">
        <f t="shared" si="128"/>
        <v>0</v>
      </c>
      <c r="R433" s="253">
        <f t="shared" si="129"/>
        <v>0</v>
      </c>
      <c r="S433" s="251">
        <f>SUMIFS('tuot-rehukirjanpito'!D:D,'tuot-rehukirjanpito'!A:A,A433)</f>
        <v>0</v>
      </c>
      <c r="T433" s="254">
        <f t="shared" si="123"/>
        <v>1098.9000000000001</v>
      </c>
      <c r="U433" s="254">
        <f t="shared" si="124"/>
        <v>1098.8999999999999</v>
      </c>
      <c r="V433" s="252">
        <f t="shared" si="125"/>
        <v>-473625.90000000352</v>
      </c>
      <c r="W433" s="255">
        <f t="shared" si="126"/>
        <v>-431.00000000000318</v>
      </c>
      <c r="X433" s="256" t="str">
        <f t="shared" si="130"/>
        <v/>
      </c>
      <c r="Y433" s="256" t="str">
        <f t="shared" si="131"/>
        <v/>
      </c>
      <c r="Z433" s="224" t="str">
        <f>IF(IFERROR(INDEX('tuot-rehukirjanpito'!I:I,MATCH(A433,'tuot-rehukirjanpito'!G:G,0)),)=0,"",INDEX('tuot-rehukirjanpito'!I:I,MATCH(A433,'tuot-rehukirjanpito'!G:G,0)))</f>
        <v/>
      </c>
      <c r="AA433" s="224">
        <f>SUMIFS('tuot-INFO'!$K$10:$K$115,'tuot-INFO'!$A$10:$A$115,'tuot-PVÄ'!B433)</f>
        <v>66</v>
      </c>
      <c r="AB433" s="224">
        <f>SUMIFS('rehu-vesi-INFO'!$R:$R,'rehu-vesi-INFO'!$A:$A,'tuot-PVÄ'!B433)</f>
        <v>1733</v>
      </c>
      <c r="AC433" s="224">
        <f>SUMIFS('rehu-vesi-INFO'!$S:$S,'rehu-vesi-INFO'!$A:$A,'tuot-PVÄ'!B433)</f>
        <v>1841</v>
      </c>
      <c r="AD433" s="224">
        <f t="shared" si="116"/>
        <v>108</v>
      </c>
      <c r="AE433" s="224">
        <f t="shared" si="117"/>
        <v>0</v>
      </c>
      <c r="AF433" s="224">
        <f t="shared" si="118"/>
        <v>173.3</v>
      </c>
      <c r="AG433" s="224">
        <f t="shared" si="119"/>
        <v>10.8</v>
      </c>
      <c r="AH433" s="257">
        <f t="shared" si="121"/>
        <v>0</v>
      </c>
      <c r="AI433" s="258">
        <f t="shared" si="122"/>
        <v>0</v>
      </c>
      <c r="AJ433" s="55">
        <f>SUMIFS('tuot-INFO'!W:W,'tuot-INFO'!$A:$A,'tuot-PVÄ'!B433)</f>
        <v>72.912000000000006</v>
      </c>
      <c r="AK433" s="55">
        <f>SUMIFS('tuot-INFO'!X:X,'tuot-INFO'!$A:$A,'tuot-PVÄ'!B433)</f>
        <v>7.8400000000000034</v>
      </c>
    </row>
    <row r="434" spans="1:37" x14ac:dyDescent="0.25">
      <c r="A434" s="169">
        <f t="shared" si="120"/>
        <v>42920</v>
      </c>
      <c r="B434" s="23">
        <f>ROUNDUP((A434-Yleistiedot!$B$4)/7,0)</f>
        <v>79</v>
      </c>
      <c r="C434" s="16"/>
      <c r="D434" s="25"/>
      <c r="E434" s="25"/>
      <c r="F434" s="25"/>
      <c r="G434" s="25"/>
      <c r="H434" s="25"/>
      <c r="I434" s="65">
        <f t="shared" si="115"/>
        <v>0</v>
      </c>
      <c r="J434" s="26"/>
      <c r="K434" s="25"/>
      <c r="L434" s="16"/>
      <c r="M434" s="16"/>
      <c r="N434" s="25"/>
      <c r="O434" s="30"/>
      <c r="P434" s="252">
        <f t="shared" si="127"/>
        <v>9990</v>
      </c>
      <c r="Q434" s="253">
        <f t="shared" si="128"/>
        <v>0</v>
      </c>
      <c r="R434" s="253">
        <f t="shared" si="129"/>
        <v>0</v>
      </c>
      <c r="S434" s="251">
        <f>SUMIFS('tuot-rehukirjanpito'!D:D,'tuot-rehukirjanpito'!A:A,A434)</f>
        <v>0</v>
      </c>
      <c r="T434" s="254">
        <f t="shared" si="123"/>
        <v>1098.9000000000001</v>
      </c>
      <c r="U434" s="254">
        <f t="shared" si="124"/>
        <v>1098.8999999999999</v>
      </c>
      <c r="V434" s="252">
        <f t="shared" si="125"/>
        <v>-474724.80000000354</v>
      </c>
      <c r="W434" s="255">
        <f t="shared" si="126"/>
        <v>-432.00000000000318</v>
      </c>
      <c r="X434" s="256" t="str">
        <f t="shared" si="130"/>
        <v/>
      </c>
      <c r="Y434" s="256" t="str">
        <f t="shared" si="131"/>
        <v/>
      </c>
      <c r="Z434" s="224" t="str">
        <f>IF(IFERROR(INDEX('tuot-rehukirjanpito'!I:I,MATCH(A434,'tuot-rehukirjanpito'!G:G,0)),)=0,"",INDEX('tuot-rehukirjanpito'!I:I,MATCH(A434,'tuot-rehukirjanpito'!G:G,0)))</f>
        <v/>
      </c>
      <c r="AA434" s="224">
        <f>SUMIFS('tuot-INFO'!$K$10:$K$115,'tuot-INFO'!$A$10:$A$115,'tuot-PVÄ'!B434)</f>
        <v>66</v>
      </c>
      <c r="AB434" s="224">
        <f>SUMIFS('rehu-vesi-INFO'!$R:$R,'rehu-vesi-INFO'!$A:$A,'tuot-PVÄ'!B434)</f>
        <v>1733</v>
      </c>
      <c r="AC434" s="224">
        <f>SUMIFS('rehu-vesi-INFO'!$S:$S,'rehu-vesi-INFO'!$A:$A,'tuot-PVÄ'!B434)</f>
        <v>1841</v>
      </c>
      <c r="AD434" s="224">
        <f t="shared" si="116"/>
        <v>108</v>
      </c>
      <c r="AE434" s="224">
        <f t="shared" si="117"/>
        <v>0</v>
      </c>
      <c r="AF434" s="224">
        <f t="shared" si="118"/>
        <v>173.3</v>
      </c>
      <c r="AG434" s="224">
        <f t="shared" si="119"/>
        <v>10.8</v>
      </c>
      <c r="AH434" s="257">
        <f t="shared" si="121"/>
        <v>0</v>
      </c>
      <c r="AI434" s="258">
        <f t="shared" si="122"/>
        <v>0</v>
      </c>
      <c r="AJ434" s="55">
        <f>SUMIFS('tuot-INFO'!W:W,'tuot-INFO'!$A:$A,'tuot-PVÄ'!B434)</f>
        <v>72.912000000000006</v>
      </c>
      <c r="AK434" s="55">
        <f>SUMIFS('tuot-INFO'!X:X,'tuot-INFO'!$A:$A,'tuot-PVÄ'!B434)</f>
        <v>7.8400000000000034</v>
      </c>
    </row>
    <row r="435" spans="1:37" x14ac:dyDescent="0.25">
      <c r="A435" s="169">
        <f t="shared" si="120"/>
        <v>42921</v>
      </c>
      <c r="B435" s="23">
        <f>ROUNDUP((A435-Yleistiedot!$B$4)/7,0)</f>
        <v>79</v>
      </c>
      <c r="C435" s="16"/>
      <c r="D435" s="25"/>
      <c r="E435" s="25"/>
      <c r="F435" s="25"/>
      <c r="G435" s="25"/>
      <c r="H435" s="25"/>
      <c r="I435" s="65">
        <f t="shared" si="115"/>
        <v>0</v>
      </c>
      <c r="J435" s="26"/>
      <c r="K435" s="25"/>
      <c r="L435" s="16"/>
      <c r="M435" s="16"/>
      <c r="N435" s="25"/>
      <c r="O435" s="30"/>
      <c r="P435" s="252">
        <f t="shared" si="127"/>
        <v>9990</v>
      </c>
      <c r="Q435" s="253">
        <f t="shared" si="128"/>
        <v>0</v>
      </c>
      <c r="R435" s="253">
        <f t="shared" si="129"/>
        <v>0</v>
      </c>
      <c r="S435" s="251">
        <f>SUMIFS('tuot-rehukirjanpito'!D:D,'tuot-rehukirjanpito'!A:A,A435)</f>
        <v>0</v>
      </c>
      <c r="T435" s="254">
        <f t="shared" si="123"/>
        <v>1098.9000000000001</v>
      </c>
      <c r="U435" s="254">
        <f t="shared" si="124"/>
        <v>1098.8999999999999</v>
      </c>
      <c r="V435" s="252">
        <f t="shared" si="125"/>
        <v>-475823.70000000356</v>
      </c>
      <c r="W435" s="255">
        <f t="shared" si="126"/>
        <v>-433.00000000000318</v>
      </c>
      <c r="X435" s="256" t="str">
        <f t="shared" si="130"/>
        <v/>
      </c>
      <c r="Y435" s="256" t="str">
        <f t="shared" si="131"/>
        <v/>
      </c>
      <c r="Z435" s="224" t="str">
        <f>IF(IFERROR(INDEX('tuot-rehukirjanpito'!I:I,MATCH(A435,'tuot-rehukirjanpito'!G:G,0)),)=0,"",INDEX('tuot-rehukirjanpito'!I:I,MATCH(A435,'tuot-rehukirjanpito'!G:G,0)))</f>
        <v/>
      </c>
      <c r="AA435" s="224">
        <f>SUMIFS('tuot-INFO'!$K$10:$K$115,'tuot-INFO'!$A$10:$A$115,'tuot-PVÄ'!B435)</f>
        <v>66</v>
      </c>
      <c r="AB435" s="224">
        <f>SUMIFS('rehu-vesi-INFO'!$R:$R,'rehu-vesi-INFO'!$A:$A,'tuot-PVÄ'!B435)</f>
        <v>1733</v>
      </c>
      <c r="AC435" s="224">
        <f>SUMIFS('rehu-vesi-INFO'!$S:$S,'rehu-vesi-INFO'!$A:$A,'tuot-PVÄ'!B435)</f>
        <v>1841</v>
      </c>
      <c r="AD435" s="224">
        <f t="shared" si="116"/>
        <v>108</v>
      </c>
      <c r="AE435" s="224">
        <f t="shared" si="117"/>
        <v>0</v>
      </c>
      <c r="AF435" s="224">
        <f t="shared" si="118"/>
        <v>173.3</v>
      </c>
      <c r="AG435" s="224">
        <f t="shared" si="119"/>
        <v>10.8</v>
      </c>
      <c r="AH435" s="257">
        <f t="shared" si="121"/>
        <v>0</v>
      </c>
      <c r="AI435" s="258">
        <f t="shared" si="122"/>
        <v>0</v>
      </c>
      <c r="AJ435" s="55">
        <f>SUMIFS('tuot-INFO'!W:W,'tuot-INFO'!$A:$A,'tuot-PVÄ'!B435)</f>
        <v>72.912000000000006</v>
      </c>
      <c r="AK435" s="55">
        <f>SUMIFS('tuot-INFO'!X:X,'tuot-INFO'!$A:$A,'tuot-PVÄ'!B435)</f>
        <v>7.8400000000000034</v>
      </c>
    </row>
    <row r="436" spans="1:37" x14ac:dyDescent="0.25">
      <c r="A436" s="169">
        <f t="shared" si="120"/>
        <v>42922</v>
      </c>
      <c r="B436" s="23">
        <f>ROUNDUP((A436-Yleistiedot!$B$4)/7,0)</f>
        <v>79</v>
      </c>
      <c r="C436" s="16"/>
      <c r="D436" s="25"/>
      <c r="E436" s="25"/>
      <c r="F436" s="25"/>
      <c r="G436" s="25"/>
      <c r="H436" s="25"/>
      <c r="I436" s="65">
        <f t="shared" si="115"/>
        <v>0</v>
      </c>
      <c r="J436" s="26"/>
      <c r="K436" s="25"/>
      <c r="L436" s="16"/>
      <c r="M436" s="16"/>
      <c r="N436" s="25"/>
      <c r="O436" s="30"/>
      <c r="P436" s="252">
        <f t="shared" si="127"/>
        <v>9990</v>
      </c>
      <c r="Q436" s="253">
        <f t="shared" si="128"/>
        <v>0</v>
      </c>
      <c r="R436" s="253">
        <f t="shared" si="129"/>
        <v>0</v>
      </c>
      <c r="S436" s="251">
        <f>SUMIFS('tuot-rehukirjanpito'!D:D,'tuot-rehukirjanpito'!A:A,A436)</f>
        <v>0</v>
      </c>
      <c r="T436" s="254">
        <f t="shared" si="123"/>
        <v>1098.9000000000001</v>
      </c>
      <c r="U436" s="254">
        <f t="shared" si="124"/>
        <v>1098.8999999999999</v>
      </c>
      <c r="V436" s="252">
        <f t="shared" si="125"/>
        <v>-476922.60000000359</v>
      </c>
      <c r="W436" s="255">
        <f t="shared" si="126"/>
        <v>-434.00000000000324</v>
      </c>
      <c r="X436" s="256" t="str">
        <f t="shared" si="130"/>
        <v/>
      </c>
      <c r="Y436" s="256" t="str">
        <f t="shared" si="131"/>
        <v/>
      </c>
      <c r="Z436" s="224" t="str">
        <f>IF(IFERROR(INDEX('tuot-rehukirjanpito'!I:I,MATCH(A436,'tuot-rehukirjanpito'!G:G,0)),)=0,"",INDEX('tuot-rehukirjanpito'!I:I,MATCH(A436,'tuot-rehukirjanpito'!G:G,0)))</f>
        <v/>
      </c>
      <c r="AA436" s="224">
        <f>SUMIFS('tuot-INFO'!$K$10:$K$115,'tuot-INFO'!$A$10:$A$115,'tuot-PVÄ'!B436)</f>
        <v>66</v>
      </c>
      <c r="AB436" s="224">
        <f>SUMIFS('rehu-vesi-INFO'!$R:$R,'rehu-vesi-INFO'!$A:$A,'tuot-PVÄ'!B436)</f>
        <v>1733</v>
      </c>
      <c r="AC436" s="224">
        <f>SUMIFS('rehu-vesi-INFO'!$S:$S,'rehu-vesi-INFO'!$A:$A,'tuot-PVÄ'!B436)</f>
        <v>1841</v>
      </c>
      <c r="AD436" s="224">
        <f t="shared" si="116"/>
        <v>108</v>
      </c>
      <c r="AE436" s="224">
        <f t="shared" si="117"/>
        <v>0</v>
      </c>
      <c r="AF436" s="224">
        <f t="shared" si="118"/>
        <v>173.3</v>
      </c>
      <c r="AG436" s="224">
        <f t="shared" si="119"/>
        <v>10.8</v>
      </c>
      <c r="AH436" s="257">
        <f t="shared" si="121"/>
        <v>0</v>
      </c>
      <c r="AI436" s="258">
        <f t="shared" si="122"/>
        <v>0</v>
      </c>
      <c r="AJ436" s="55">
        <f>SUMIFS('tuot-INFO'!W:W,'tuot-INFO'!$A:$A,'tuot-PVÄ'!B436)</f>
        <v>72.912000000000006</v>
      </c>
      <c r="AK436" s="55">
        <f>SUMIFS('tuot-INFO'!X:X,'tuot-INFO'!$A:$A,'tuot-PVÄ'!B436)</f>
        <v>7.8400000000000034</v>
      </c>
    </row>
    <row r="437" spans="1:37" x14ac:dyDescent="0.25">
      <c r="A437" s="169">
        <f t="shared" si="120"/>
        <v>42923</v>
      </c>
      <c r="B437" s="23">
        <f>ROUNDUP((A437-Yleistiedot!$B$4)/7,0)</f>
        <v>79</v>
      </c>
      <c r="C437" s="16"/>
      <c r="D437" s="25"/>
      <c r="E437" s="25"/>
      <c r="F437" s="25"/>
      <c r="G437" s="25"/>
      <c r="H437" s="25"/>
      <c r="I437" s="65">
        <f t="shared" si="115"/>
        <v>0</v>
      </c>
      <c r="J437" s="26"/>
      <c r="K437" s="25"/>
      <c r="L437" s="16"/>
      <c r="M437" s="16"/>
      <c r="N437" s="25"/>
      <c r="O437" s="30"/>
      <c r="P437" s="252">
        <f t="shared" si="127"/>
        <v>9990</v>
      </c>
      <c r="Q437" s="253">
        <f t="shared" si="128"/>
        <v>0</v>
      </c>
      <c r="R437" s="253">
        <f t="shared" si="129"/>
        <v>0</v>
      </c>
      <c r="S437" s="251">
        <f>SUMIFS('tuot-rehukirjanpito'!D:D,'tuot-rehukirjanpito'!A:A,A437)</f>
        <v>0</v>
      </c>
      <c r="T437" s="254">
        <f t="shared" si="123"/>
        <v>1098.9000000000001</v>
      </c>
      <c r="U437" s="254">
        <f t="shared" si="124"/>
        <v>1098.8999999999999</v>
      </c>
      <c r="V437" s="252">
        <f t="shared" si="125"/>
        <v>-478021.50000000361</v>
      </c>
      <c r="W437" s="255">
        <f t="shared" si="126"/>
        <v>-435.00000000000324</v>
      </c>
      <c r="X437" s="256" t="str">
        <f t="shared" si="130"/>
        <v/>
      </c>
      <c r="Y437" s="256" t="str">
        <f t="shared" si="131"/>
        <v/>
      </c>
      <c r="Z437" s="224" t="str">
        <f>IF(IFERROR(INDEX('tuot-rehukirjanpito'!I:I,MATCH(A437,'tuot-rehukirjanpito'!G:G,0)),)=0,"",INDEX('tuot-rehukirjanpito'!I:I,MATCH(A437,'tuot-rehukirjanpito'!G:G,0)))</f>
        <v/>
      </c>
      <c r="AA437" s="224">
        <f>SUMIFS('tuot-INFO'!$K$10:$K$115,'tuot-INFO'!$A$10:$A$115,'tuot-PVÄ'!B437)</f>
        <v>66</v>
      </c>
      <c r="AB437" s="224">
        <f>SUMIFS('rehu-vesi-INFO'!$R:$R,'rehu-vesi-INFO'!$A:$A,'tuot-PVÄ'!B437)</f>
        <v>1733</v>
      </c>
      <c r="AC437" s="224">
        <f>SUMIFS('rehu-vesi-INFO'!$S:$S,'rehu-vesi-INFO'!$A:$A,'tuot-PVÄ'!B437)</f>
        <v>1841</v>
      </c>
      <c r="AD437" s="224">
        <f t="shared" si="116"/>
        <v>108</v>
      </c>
      <c r="AE437" s="224">
        <f t="shared" si="117"/>
        <v>0</v>
      </c>
      <c r="AF437" s="224">
        <f t="shared" si="118"/>
        <v>173.3</v>
      </c>
      <c r="AG437" s="224">
        <f t="shared" si="119"/>
        <v>10.8</v>
      </c>
      <c r="AH437" s="257">
        <f t="shared" si="121"/>
        <v>0</v>
      </c>
      <c r="AI437" s="258">
        <f t="shared" si="122"/>
        <v>0</v>
      </c>
      <c r="AJ437" s="55">
        <f>SUMIFS('tuot-INFO'!W:W,'tuot-INFO'!$A:$A,'tuot-PVÄ'!B437)</f>
        <v>72.912000000000006</v>
      </c>
      <c r="AK437" s="55">
        <f>SUMIFS('tuot-INFO'!X:X,'tuot-INFO'!$A:$A,'tuot-PVÄ'!B437)</f>
        <v>7.8400000000000034</v>
      </c>
    </row>
    <row r="438" spans="1:37" x14ac:dyDescent="0.25">
      <c r="A438" s="169">
        <f t="shared" si="120"/>
        <v>42924</v>
      </c>
      <c r="B438" s="23">
        <f>ROUNDUP((A438-Yleistiedot!$B$4)/7,0)</f>
        <v>80</v>
      </c>
      <c r="C438" s="16"/>
      <c r="D438" s="25"/>
      <c r="E438" s="25"/>
      <c r="F438" s="25"/>
      <c r="G438" s="25"/>
      <c r="H438" s="25"/>
      <c r="I438" s="65">
        <f t="shared" si="115"/>
        <v>0</v>
      </c>
      <c r="J438" s="26"/>
      <c r="K438" s="25"/>
      <c r="L438" s="16"/>
      <c r="M438" s="16"/>
      <c r="N438" s="25"/>
      <c r="O438" s="30"/>
      <c r="P438" s="252">
        <f t="shared" si="127"/>
        <v>9990</v>
      </c>
      <c r="Q438" s="253">
        <f t="shared" si="128"/>
        <v>0</v>
      </c>
      <c r="R438" s="253">
        <f t="shared" si="129"/>
        <v>0</v>
      </c>
      <c r="S438" s="251">
        <f>SUMIFS('tuot-rehukirjanpito'!D:D,'tuot-rehukirjanpito'!A:A,A438)</f>
        <v>0</v>
      </c>
      <c r="T438" s="254">
        <f t="shared" si="123"/>
        <v>1098.9000000000001</v>
      </c>
      <c r="U438" s="254">
        <f t="shared" si="124"/>
        <v>1098.8999999999999</v>
      </c>
      <c r="V438" s="252">
        <f t="shared" si="125"/>
        <v>-479120.40000000363</v>
      </c>
      <c r="W438" s="255">
        <f t="shared" si="126"/>
        <v>-436.0000000000033</v>
      </c>
      <c r="X438" s="256" t="str">
        <f t="shared" si="130"/>
        <v/>
      </c>
      <c r="Y438" s="256" t="str">
        <f t="shared" si="131"/>
        <v/>
      </c>
      <c r="Z438" s="224" t="str">
        <f>IF(IFERROR(INDEX('tuot-rehukirjanpito'!I:I,MATCH(A438,'tuot-rehukirjanpito'!G:G,0)),)=0,"",INDEX('tuot-rehukirjanpito'!I:I,MATCH(A438,'tuot-rehukirjanpito'!G:G,0)))</f>
        <v/>
      </c>
      <c r="AA438" s="224">
        <f>SUMIFS('tuot-INFO'!$K$10:$K$115,'tuot-INFO'!$A$10:$A$115,'tuot-PVÄ'!B438)</f>
        <v>66</v>
      </c>
      <c r="AB438" s="224">
        <f>SUMIFS('rehu-vesi-INFO'!$R:$R,'rehu-vesi-INFO'!$A:$A,'tuot-PVÄ'!B438)</f>
        <v>1734</v>
      </c>
      <c r="AC438" s="224">
        <f>SUMIFS('rehu-vesi-INFO'!$S:$S,'rehu-vesi-INFO'!$A:$A,'tuot-PVÄ'!B438)</f>
        <v>1842</v>
      </c>
      <c r="AD438" s="224">
        <f t="shared" si="116"/>
        <v>108</v>
      </c>
      <c r="AE438" s="224">
        <f t="shared" si="117"/>
        <v>0</v>
      </c>
      <c r="AF438" s="224">
        <f t="shared" si="118"/>
        <v>173.4</v>
      </c>
      <c r="AG438" s="224">
        <f t="shared" si="119"/>
        <v>10.8</v>
      </c>
      <c r="AH438" s="257">
        <f t="shared" si="121"/>
        <v>0</v>
      </c>
      <c r="AI438" s="258">
        <f t="shared" si="122"/>
        <v>0</v>
      </c>
      <c r="AJ438" s="55">
        <f>SUMIFS('tuot-INFO'!W:W,'tuot-INFO'!$A:$A,'tuot-PVÄ'!B438)</f>
        <v>72.353999999999999</v>
      </c>
      <c r="AK438" s="55">
        <f>SUMIFS('tuot-INFO'!X:X,'tuot-INFO'!$A:$A,'tuot-PVÄ'!B438)</f>
        <v>7.7800000000000011</v>
      </c>
    </row>
    <row r="439" spans="1:37" x14ac:dyDescent="0.25">
      <c r="A439" s="169">
        <f t="shared" si="120"/>
        <v>42925</v>
      </c>
      <c r="B439" s="23">
        <f>ROUNDUP((A439-Yleistiedot!$B$4)/7,0)</f>
        <v>80</v>
      </c>
      <c r="C439" s="16"/>
      <c r="D439" s="25"/>
      <c r="E439" s="25"/>
      <c r="F439" s="25"/>
      <c r="G439" s="25"/>
      <c r="H439" s="25"/>
      <c r="I439" s="65">
        <f t="shared" si="115"/>
        <v>0</v>
      </c>
      <c r="J439" s="26"/>
      <c r="K439" s="25"/>
      <c r="L439" s="16"/>
      <c r="M439" s="16"/>
      <c r="N439" s="25"/>
      <c r="O439" s="30"/>
      <c r="P439" s="252">
        <f t="shared" si="127"/>
        <v>9990</v>
      </c>
      <c r="Q439" s="253">
        <f t="shared" si="128"/>
        <v>0</v>
      </c>
      <c r="R439" s="253">
        <f t="shared" si="129"/>
        <v>0</v>
      </c>
      <c r="S439" s="251">
        <f>SUMIFS('tuot-rehukirjanpito'!D:D,'tuot-rehukirjanpito'!A:A,A439)</f>
        <v>0</v>
      </c>
      <c r="T439" s="254">
        <f t="shared" si="123"/>
        <v>1098.9000000000001</v>
      </c>
      <c r="U439" s="254">
        <f t="shared" si="124"/>
        <v>1098.8999999999999</v>
      </c>
      <c r="V439" s="252">
        <f t="shared" si="125"/>
        <v>-480219.30000000366</v>
      </c>
      <c r="W439" s="255">
        <f t="shared" si="126"/>
        <v>-437.0000000000033</v>
      </c>
      <c r="X439" s="256" t="str">
        <f t="shared" si="130"/>
        <v/>
      </c>
      <c r="Y439" s="256" t="str">
        <f t="shared" si="131"/>
        <v/>
      </c>
      <c r="Z439" s="224" t="str">
        <f>IF(IFERROR(INDEX('tuot-rehukirjanpito'!I:I,MATCH(A439,'tuot-rehukirjanpito'!G:G,0)),)=0,"",INDEX('tuot-rehukirjanpito'!I:I,MATCH(A439,'tuot-rehukirjanpito'!G:G,0)))</f>
        <v/>
      </c>
      <c r="AA439" s="224">
        <f>SUMIFS('tuot-INFO'!$K$10:$K$115,'tuot-INFO'!$A$10:$A$115,'tuot-PVÄ'!B439)</f>
        <v>66</v>
      </c>
      <c r="AB439" s="224">
        <f>SUMIFS('rehu-vesi-INFO'!$R:$R,'rehu-vesi-INFO'!$A:$A,'tuot-PVÄ'!B439)</f>
        <v>1734</v>
      </c>
      <c r="AC439" s="224">
        <f>SUMIFS('rehu-vesi-INFO'!$S:$S,'rehu-vesi-INFO'!$A:$A,'tuot-PVÄ'!B439)</f>
        <v>1842</v>
      </c>
      <c r="AD439" s="224">
        <f t="shared" si="116"/>
        <v>108</v>
      </c>
      <c r="AE439" s="224">
        <f t="shared" si="117"/>
        <v>0</v>
      </c>
      <c r="AF439" s="224">
        <f t="shared" si="118"/>
        <v>173.4</v>
      </c>
      <c r="AG439" s="224">
        <f t="shared" si="119"/>
        <v>10.8</v>
      </c>
      <c r="AH439" s="257">
        <f t="shared" si="121"/>
        <v>0</v>
      </c>
      <c r="AI439" s="258">
        <f t="shared" si="122"/>
        <v>0</v>
      </c>
      <c r="AJ439" s="55">
        <f>SUMIFS('tuot-INFO'!W:W,'tuot-INFO'!$A:$A,'tuot-PVÄ'!B439)</f>
        <v>72.353999999999999</v>
      </c>
      <c r="AK439" s="55">
        <f>SUMIFS('tuot-INFO'!X:X,'tuot-INFO'!$A:$A,'tuot-PVÄ'!B439)</f>
        <v>7.7800000000000011</v>
      </c>
    </row>
    <row r="440" spans="1:37" x14ac:dyDescent="0.25">
      <c r="A440" s="169">
        <f t="shared" si="120"/>
        <v>42926</v>
      </c>
      <c r="B440" s="23">
        <f>ROUNDUP((A440-Yleistiedot!$B$4)/7,0)</f>
        <v>80</v>
      </c>
      <c r="C440" s="16"/>
      <c r="D440" s="25"/>
      <c r="E440" s="25"/>
      <c r="F440" s="25"/>
      <c r="G440" s="25"/>
      <c r="H440" s="25"/>
      <c r="I440" s="65">
        <f t="shared" si="115"/>
        <v>0</v>
      </c>
      <c r="J440" s="26"/>
      <c r="K440" s="25"/>
      <c r="L440" s="16"/>
      <c r="M440" s="16"/>
      <c r="N440" s="25"/>
      <c r="O440" s="30"/>
      <c r="P440" s="252">
        <f t="shared" si="127"/>
        <v>9990</v>
      </c>
      <c r="Q440" s="253">
        <f t="shared" si="128"/>
        <v>0</v>
      </c>
      <c r="R440" s="253">
        <f t="shared" si="129"/>
        <v>0</v>
      </c>
      <c r="S440" s="251">
        <f>SUMIFS('tuot-rehukirjanpito'!D:D,'tuot-rehukirjanpito'!A:A,A440)</f>
        <v>0</v>
      </c>
      <c r="T440" s="254">
        <f t="shared" si="123"/>
        <v>1098.9000000000001</v>
      </c>
      <c r="U440" s="254">
        <f t="shared" si="124"/>
        <v>1098.8999999999999</v>
      </c>
      <c r="V440" s="252">
        <f t="shared" si="125"/>
        <v>-481318.20000000368</v>
      </c>
      <c r="W440" s="255">
        <f t="shared" si="126"/>
        <v>-438.0000000000033</v>
      </c>
      <c r="X440" s="256" t="str">
        <f t="shared" si="130"/>
        <v/>
      </c>
      <c r="Y440" s="256" t="str">
        <f t="shared" si="131"/>
        <v/>
      </c>
      <c r="Z440" s="224" t="str">
        <f>IF(IFERROR(INDEX('tuot-rehukirjanpito'!I:I,MATCH(A440,'tuot-rehukirjanpito'!G:G,0)),)=0,"",INDEX('tuot-rehukirjanpito'!I:I,MATCH(A440,'tuot-rehukirjanpito'!G:G,0)))</f>
        <v/>
      </c>
      <c r="AA440" s="224">
        <f>SUMIFS('tuot-INFO'!$K$10:$K$115,'tuot-INFO'!$A$10:$A$115,'tuot-PVÄ'!B440)</f>
        <v>66</v>
      </c>
      <c r="AB440" s="224">
        <f>SUMIFS('rehu-vesi-INFO'!$R:$R,'rehu-vesi-INFO'!$A:$A,'tuot-PVÄ'!B440)</f>
        <v>1734</v>
      </c>
      <c r="AC440" s="224">
        <f>SUMIFS('rehu-vesi-INFO'!$S:$S,'rehu-vesi-INFO'!$A:$A,'tuot-PVÄ'!B440)</f>
        <v>1842</v>
      </c>
      <c r="AD440" s="224">
        <f t="shared" si="116"/>
        <v>108</v>
      </c>
      <c r="AE440" s="224">
        <f t="shared" si="117"/>
        <v>0</v>
      </c>
      <c r="AF440" s="224">
        <f t="shared" si="118"/>
        <v>173.4</v>
      </c>
      <c r="AG440" s="224">
        <f t="shared" si="119"/>
        <v>10.8</v>
      </c>
      <c r="AH440" s="257">
        <f t="shared" si="121"/>
        <v>0</v>
      </c>
      <c r="AI440" s="258">
        <f t="shared" si="122"/>
        <v>0</v>
      </c>
      <c r="AJ440" s="55">
        <f>SUMIFS('tuot-INFO'!W:W,'tuot-INFO'!$A:$A,'tuot-PVÄ'!B440)</f>
        <v>72.353999999999999</v>
      </c>
      <c r="AK440" s="55">
        <f>SUMIFS('tuot-INFO'!X:X,'tuot-INFO'!$A:$A,'tuot-PVÄ'!B440)</f>
        <v>7.7800000000000011</v>
      </c>
    </row>
    <row r="441" spans="1:37" x14ac:dyDescent="0.25">
      <c r="A441" s="169">
        <f t="shared" si="120"/>
        <v>42927</v>
      </c>
      <c r="B441" s="23">
        <f>ROUNDUP((A441-Yleistiedot!$B$4)/7,0)</f>
        <v>80</v>
      </c>
      <c r="C441" s="16"/>
      <c r="D441" s="25"/>
      <c r="E441" s="25"/>
      <c r="F441" s="25"/>
      <c r="G441" s="25"/>
      <c r="H441" s="25"/>
      <c r="I441" s="65">
        <f t="shared" si="115"/>
        <v>0</v>
      </c>
      <c r="J441" s="26"/>
      <c r="K441" s="25"/>
      <c r="L441" s="16"/>
      <c r="M441" s="16"/>
      <c r="N441" s="25"/>
      <c r="O441" s="30"/>
      <c r="P441" s="252">
        <f t="shared" si="127"/>
        <v>9990</v>
      </c>
      <c r="Q441" s="253">
        <f t="shared" si="128"/>
        <v>0</v>
      </c>
      <c r="R441" s="253">
        <f t="shared" si="129"/>
        <v>0</v>
      </c>
      <c r="S441" s="251">
        <f>SUMIFS('tuot-rehukirjanpito'!D:D,'tuot-rehukirjanpito'!A:A,A441)</f>
        <v>0</v>
      </c>
      <c r="T441" s="254">
        <f t="shared" si="123"/>
        <v>1098.9000000000001</v>
      </c>
      <c r="U441" s="254">
        <f t="shared" si="124"/>
        <v>1098.8999999999999</v>
      </c>
      <c r="V441" s="252">
        <f t="shared" si="125"/>
        <v>-482417.1000000037</v>
      </c>
      <c r="W441" s="255">
        <f t="shared" si="126"/>
        <v>-439.00000000000335</v>
      </c>
      <c r="X441" s="256" t="str">
        <f t="shared" si="130"/>
        <v/>
      </c>
      <c r="Y441" s="256" t="str">
        <f t="shared" si="131"/>
        <v/>
      </c>
      <c r="Z441" s="224" t="str">
        <f>IF(IFERROR(INDEX('tuot-rehukirjanpito'!I:I,MATCH(A441,'tuot-rehukirjanpito'!G:G,0)),)=0,"",INDEX('tuot-rehukirjanpito'!I:I,MATCH(A441,'tuot-rehukirjanpito'!G:G,0)))</f>
        <v/>
      </c>
      <c r="AA441" s="224">
        <f>SUMIFS('tuot-INFO'!$K$10:$K$115,'tuot-INFO'!$A$10:$A$115,'tuot-PVÄ'!B441)</f>
        <v>66</v>
      </c>
      <c r="AB441" s="224">
        <f>SUMIFS('rehu-vesi-INFO'!$R:$R,'rehu-vesi-INFO'!$A:$A,'tuot-PVÄ'!B441)</f>
        <v>1734</v>
      </c>
      <c r="AC441" s="224">
        <f>SUMIFS('rehu-vesi-INFO'!$S:$S,'rehu-vesi-INFO'!$A:$A,'tuot-PVÄ'!B441)</f>
        <v>1842</v>
      </c>
      <c r="AD441" s="224">
        <f t="shared" si="116"/>
        <v>108</v>
      </c>
      <c r="AE441" s="224">
        <f t="shared" si="117"/>
        <v>0</v>
      </c>
      <c r="AF441" s="224">
        <f t="shared" si="118"/>
        <v>173.4</v>
      </c>
      <c r="AG441" s="224">
        <f t="shared" si="119"/>
        <v>10.8</v>
      </c>
      <c r="AH441" s="257">
        <f t="shared" si="121"/>
        <v>0</v>
      </c>
      <c r="AI441" s="258">
        <f t="shared" si="122"/>
        <v>0</v>
      </c>
      <c r="AJ441" s="55">
        <f>SUMIFS('tuot-INFO'!W:W,'tuot-INFO'!$A:$A,'tuot-PVÄ'!B441)</f>
        <v>72.353999999999999</v>
      </c>
      <c r="AK441" s="55">
        <f>SUMIFS('tuot-INFO'!X:X,'tuot-INFO'!$A:$A,'tuot-PVÄ'!B441)</f>
        <v>7.7800000000000011</v>
      </c>
    </row>
    <row r="442" spans="1:37" x14ac:dyDescent="0.25">
      <c r="A442" s="169">
        <f t="shared" si="120"/>
        <v>42928</v>
      </c>
      <c r="B442" s="23">
        <f>ROUNDUP((A442-Yleistiedot!$B$4)/7,0)</f>
        <v>80</v>
      </c>
      <c r="C442" s="16"/>
      <c r="D442" s="25"/>
      <c r="E442" s="25"/>
      <c r="F442" s="25"/>
      <c r="G442" s="25"/>
      <c r="H442" s="25"/>
      <c r="I442" s="65">
        <f t="shared" si="115"/>
        <v>0</v>
      </c>
      <c r="J442" s="26"/>
      <c r="K442" s="25"/>
      <c r="L442" s="16"/>
      <c r="M442" s="16"/>
      <c r="N442" s="25"/>
      <c r="O442" s="30"/>
      <c r="P442" s="252">
        <f t="shared" si="127"/>
        <v>9990</v>
      </c>
      <c r="Q442" s="253">
        <f t="shared" si="128"/>
        <v>0</v>
      </c>
      <c r="R442" s="253">
        <f t="shared" si="129"/>
        <v>0</v>
      </c>
      <c r="S442" s="251">
        <f>SUMIFS('tuot-rehukirjanpito'!D:D,'tuot-rehukirjanpito'!A:A,A442)</f>
        <v>0</v>
      </c>
      <c r="T442" s="254">
        <f t="shared" si="123"/>
        <v>1098.9000000000001</v>
      </c>
      <c r="U442" s="254">
        <f t="shared" si="124"/>
        <v>1098.8999999999999</v>
      </c>
      <c r="V442" s="252">
        <f t="shared" si="125"/>
        <v>-483516.00000000373</v>
      </c>
      <c r="W442" s="255">
        <f t="shared" si="126"/>
        <v>-440.00000000000335</v>
      </c>
      <c r="X442" s="256" t="str">
        <f t="shared" si="130"/>
        <v/>
      </c>
      <c r="Y442" s="256" t="str">
        <f t="shared" si="131"/>
        <v/>
      </c>
      <c r="Z442" s="224" t="str">
        <f>IF(IFERROR(INDEX('tuot-rehukirjanpito'!I:I,MATCH(A442,'tuot-rehukirjanpito'!G:G,0)),)=0,"",INDEX('tuot-rehukirjanpito'!I:I,MATCH(A442,'tuot-rehukirjanpito'!G:G,0)))</f>
        <v/>
      </c>
      <c r="AA442" s="224">
        <f>SUMIFS('tuot-INFO'!$K$10:$K$115,'tuot-INFO'!$A$10:$A$115,'tuot-PVÄ'!B442)</f>
        <v>66</v>
      </c>
      <c r="AB442" s="224">
        <f>SUMIFS('rehu-vesi-INFO'!$R:$R,'rehu-vesi-INFO'!$A:$A,'tuot-PVÄ'!B442)</f>
        <v>1734</v>
      </c>
      <c r="AC442" s="224">
        <f>SUMIFS('rehu-vesi-INFO'!$S:$S,'rehu-vesi-INFO'!$A:$A,'tuot-PVÄ'!B442)</f>
        <v>1842</v>
      </c>
      <c r="AD442" s="224">
        <f t="shared" si="116"/>
        <v>108</v>
      </c>
      <c r="AE442" s="224">
        <f t="shared" si="117"/>
        <v>0</v>
      </c>
      <c r="AF442" s="224">
        <f t="shared" si="118"/>
        <v>173.4</v>
      </c>
      <c r="AG442" s="224">
        <f t="shared" si="119"/>
        <v>10.8</v>
      </c>
      <c r="AH442" s="257">
        <f t="shared" si="121"/>
        <v>0</v>
      </c>
      <c r="AI442" s="258">
        <f t="shared" si="122"/>
        <v>0</v>
      </c>
      <c r="AJ442" s="55">
        <f>SUMIFS('tuot-INFO'!W:W,'tuot-INFO'!$A:$A,'tuot-PVÄ'!B442)</f>
        <v>72.353999999999999</v>
      </c>
      <c r="AK442" s="55">
        <f>SUMIFS('tuot-INFO'!X:X,'tuot-INFO'!$A:$A,'tuot-PVÄ'!B442)</f>
        <v>7.7800000000000011</v>
      </c>
    </row>
    <row r="443" spans="1:37" x14ac:dyDescent="0.25">
      <c r="A443" s="169">
        <f t="shared" si="120"/>
        <v>42929</v>
      </c>
      <c r="B443" s="23">
        <f>ROUNDUP((A443-Yleistiedot!$B$4)/7,0)</f>
        <v>80</v>
      </c>
      <c r="C443" s="16"/>
      <c r="D443" s="25"/>
      <c r="E443" s="25"/>
      <c r="F443" s="25"/>
      <c r="G443" s="25"/>
      <c r="H443" s="25"/>
      <c r="I443" s="65">
        <f t="shared" si="115"/>
        <v>0</v>
      </c>
      <c r="J443" s="26"/>
      <c r="K443" s="25"/>
      <c r="L443" s="16"/>
      <c r="M443" s="16"/>
      <c r="N443" s="25"/>
      <c r="O443" s="30"/>
      <c r="P443" s="252">
        <f t="shared" si="127"/>
        <v>9990</v>
      </c>
      <c r="Q443" s="253">
        <f t="shared" si="128"/>
        <v>0</v>
      </c>
      <c r="R443" s="253">
        <f t="shared" si="129"/>
        <v>0</v>
      </c>
      <c r="S443" s="251">
        <f>SUMIFS('tuot-rehukirjanpito'!D:D,'tuot-rehukirjanpito'!A:A,A443)</f>
        <v>0</v>
      </c>
      <c r="T443" s="254">
        <f t="shared" si="123"/>
        <v>1098.9000000000001</v>
      </c>
      <c r="U443" s="254">
        <f t="shared" si="124"/>
        <v>1098.8999999999999</v>
      </c>
      <c r="V443" s="252">
        <f t="shared" si="125"/>
        <v>-484614.90000000375</v>
      </c>
      <c r="W443" s="255">
        <f t="shared" si="126"/>
        <v>-441.00000000000335</v>
      </c>
      <c r="X443" s="256" t="str">
        <f t="shared" si="130"/>
        <v/>
      </c>
      <c r="Y443" s="256" t="str">
        <f t="shared" si="131"/>
        <v/>
      </c>
      <c r="Z443" s="224" t="str">
        <f>IF(IFERROR(INDEX('tuot-rehukirjanpito'!I:I,MATCH(A443,'tuot-rehukirjanpito'!G:G,0)),)=0,"",INDEX('tuot-rehukirjanpito'!I:I,MATCH(A443,'tuot-rehukirjanpito'!G:G,0)))</f>
        <v/>
      </c>
      <c r="AA443" s="224">
        <f>SUMIFS('tuot-INFO'!$K$10:$K$115,'tuot-INFO'!$A$10:$A$115,'tuot-PVÄ'!B443)</f>
        <v>66</v>
      </c>
      <c r="AB443" s="224">
        <f>SUMIFS('rehu-vesi-INFO'!$R:$R,'rehu-vesi-INFO'!$A:$A,'tuot-PVÄ'!B443)</f>
        <v>1734</v>
      </c>
      <c r="AC443" s="224">
        <f>SUMIFS('rehu-vesi-INFO'!$S:$S,'rehu-vesi-INFO'!$A:$A,'tuot-PVÄ'!B443)</f>
        <v>1842</v>
      </c>
      <c r="AD443" s="224">
        <f t="shared" si="116"/>
        <v>108</v>
      </c>
      <c r="AE443" s="224">
        <f t="shared" si="117"/>
        <v>0</v>
      </c>
      <c r="AF443" s="224">
        <f t="shared" si="118"/>
        <v>173.4</v>
      </c>
      <c r="AG443" s="224">
        <f t="shared" si="119"/>
        <v>10.8</v>
      </c>
      <c r="AH443" s="257">
        <f t="shared" si="121"/>
        <v>0</v>
      </c>
      <c r="AI443" s="258">
        <f t="shared" si="122"/>
        <v>0</v>
      </c>
      <c r="AJ443" s="55">
        <f>SUMIFS('tuot-INFO'!W:W,'tuot-INFO'!$A:$A,'tuot-PVÄ'!B443)</f>
        <v>72.353999999999999</v>
      </c>
      <c r="AK443" s="55">
        <f>SUMIFS('tuot-INFO'!X:X,'tuot-INFO'!$A:$A,'tuot-PVÄ'!B443)</f>
        <v>7.7800000000000011</v>
      </c>
    </row>
    <row r="444" spans="1:37" x14ac:dyDescent="0.25">
      <c r="A444" s="169">
        <f t="shared" si="120"/>
        <v>42930</v>
      </c>
      <c r="B444" s="23">
        <f>ROUNDUP((A444-Yleistiedot!$B$4)/7,0)</f>
        <v>80</v>
      </c>
      <c r="C444" s="16"/>
      <c r="D444" s="25"/>
      <c r="E444" s="25"/>
      <c r="F444" s="25"/>
      <c r="G444" s="25"/>
      <c r="H444" s="25"/>
      <c r="I444" s="65">
        <f t="shared" si="115"/>
        <v>0</v>
      </c>
      <c r="J444" s="26"/>
      <c r="K444" s="25"/>
      <c r="L444" s="16"/>
      <c r="M444" s="16"/>
      <c r="N444" s="25"/>
      <c r="O444" s="30"/>
      <c r="P444" s="252">
        <f t="shared" si="127"/>
        <v>9990</v>
      </c>
      <c r="Q444" s="253">
        <f t="shared" si="128"/>
        <v>0</v>
      </c>
      <c r="R444" s="253">
        <f t="shared" si="129"/>
        <v>0</v>
      </c>
      <c r="S444" s="251">
        <f>SUMIFS('tuot-rehukirjanpito'!D:D,'tuot-rehukirjanpito'!A:A,A444)</f>
        <v>0</v>
      </c>
      <c r="T444" s="254">
        <f t="shared" si="123"/>
        <v>1098.9000000000001</v>
      </c>
      <c r="U444" s="254">
        <f t="shared" si="124"/>
        <v>1098.8999999999999</v>
      </c>
      <c r="V444" s="252">
        <f t="shared" si="125"/>
        <v>-485713.80000000377</v>
      </c>
      <c r="W444" s="255">
        <f t="shared" si="126"/>
        <v>-442.00000000000341</v>
      </c>
      <c r="X444" s="256" t="str">
        <f t="shared" si="130"/>
        <v/>
      </c>
      <c r="Y444" s="256" t="str">
        <f t="shared" si="131"/>
        <v/>
      </c>
      <c r="Z444" s="224" t="str">
        <f>IF(IFERROR(INDEX('tuot-rehukirjanpito'!I:I,MATCH(A444,'tuot-rehukirjanpito'!G:G,0)),)=0,"",INDEX('tuot-rehukirjanpito'!I:I,MATCH(A444,'tuot-rehukirjanpito'!G:G,0)))</f>
        <v/>
      </c>
      <c r="AA444" s="224">
        <f>SUMIFS('tuot-INFO'!$K$10:$K$115,'tuot-INFO'!$A$10:$A$115,'tuot-PVÄ'!B444)</f>
        <v>66</v>
      </c>
      <c r="AB444" s="224">
        <f>SUMIFS('rehu-vesi-INFO'!$R:$R,'rehu-vesi-INFO'!$A:$A,'tuot-PVÄ'!B444)</f>
        <v>1734</v>
      </c>
      <c r="AC444" s="224">
        <f>SUMIFS('rehu-vesi-INFO'!$S:$S,'rehu-vesi-INFO'!$A:$A,'tuot-PVÄ'!B444)</f>
        <v>1842</v>
      </c>
      <c r="AD444" s="224">
        <f t="shared" si="116"/>
        <v>108</v>
      </c>
      <c r="AE444" s="224">
        <f t="shared" si="117"/>
        <v>0</v>
      </c>
      <c r="AF444" s="224">
        <f t="shared" si="118"/>
        <v>173.4</v>
      </c>
      <c r="AG444" s="224">
        <f t="shared" si="119"/>
        <v>10.8</v>
      </c>
      <c r="AH444" s="257">
        <f t="shared" si="121"/>
        <v>0</v>
      </c>
      <c r="AI444" s="258">
        <f t="shared" si="122"/>
        <v>0</v>
      </c>
      <c r="AJ444" s="55">
        <f>SUMIFS('tuot-INFO'!W:W,'tuot-INFO'!$A:$A,'tuot-PVÄ'!B444)</f>
        <v>72.353999999999999</v>
      </c>
      <c r="AK444" s="55">
        <f>SUMIFS('tuot-INFO'!X:X,'tuot-INFO'!$A:$A,'tuot-PVÄ'!B444)</f>
        <v>7.7800000000000011</v>
      </c>
    </row>
    <row r="445" spans="1:37" x14ac:dyDescent="0.25">
      <c r="A445" s="169">
        <f t="shared" si="120"/>
        <v>42931</v>
      </c>
      <c r="B445" s="23">
        <f>ROUNDUP((A445-Yleistiedot!$B$4)/7,0)</f>
        <v>81</v>
      </c>
      <c r="C445" s="16"/>
      <c r="D445" s="25"/>
      <c r="E445" s="25"/>
      <c r="F445" s="25"/>
      <c r="G445" s="25"/>
      <c r="H445" s="25"/>
      <c r="I445" s="65">
        <f t="shared" si="115"/>
        <v>0</v>
      </c>
      <c r="J445" s="26"/>
      <c r="K445" s="25"/>
      <c r="L445" s="16"/>
      <c r="M445" s="16"/>
      <c r="N445" s="25"/>
      <c r="O445" s="30"/>
      <c r="P445" s="252">
        <f t="shared" si="127"/>
        <v>9990</v>
      </c>
      <c r="Q445" s="253">
        <f t="shared" si="128"/>
        <v>0</v>
      </c>
      <c r="R445" s="253">
        <f t="shared" si="129"/>
        <v>0</v>
      </c>
      <c r="S445" s="251">
        <f>SUMIFS('tuot-rehukirjanpito'!D:D,'tuot-rehukirjanpito'!A:A,A445)</f>
        <v>0</v>
      </c>
      <c r="T445" s="254">
        <f t="shared" si="123"/>
        <v>1098.9000000000001</v>
      </c>
      <c r="U445" s="254">
        <f t="shared" si="124"/>
        <v>1098.8999999999999</v>
      </c>
      <c r="V445" s="252">
        <f t="shared" si="125"/>
        <v>-486812.7000000038</v>
      </c>
      <c r="W445" s="255">
        <f t="shared" si="126"/>
        <v>-443.00000000000341</v>
      </c>
      <c r="X445" s="256" t="str">
        <f t="shared" si="130"/>
        <v/>
      </c>
      <c r="Y445" s="256" t="str">
        <f t="shared" si="131"/>
        <v/>
      </c>
      <c r="Z445" s="224" t="str">
        <f>IF(IFERROR(INDEX('tuot-rehukirjanpito'!I:I,MATCH(A445,'tuot-rehukirjanpito'!G:G,0)),)=0,"",INDEX('tuot-rehukirjanpito'!I:I,MATCH(A445,'tuot-rehukirjanpito'!G:G,0)))</f>
        <v/>
      </c>
      <c r="AA445" s="224">
        <f>SUMIFS('tuot-INFO'!$K$10:$K$115,'tuot-INFO'!$A$10:$A$115,'tuot-PVÄ'!B445)</f>
        <v>66.099999999999994</v>
      </c>
      <c r="AB445" s="224">
        <f>SUMIFS('rehu-vesi-INFO'!$R:$R,'rehu-vesi-INFO'!$A:$A,'tuot-PVÄ'!B445)</f>
        <v>1735</v>
      </c>
      <c r="AC445" s="224">
        <f>SUMIFS('rehu-vesi-INFO'!$S:$S,'rehu-vesi-INFO'!$A:$A,'tuot-PVÄ'!B445)</f>
        <v>1843</v>
      </c>
      <c r="AD445" s="224">
        <f t="shared" si="116"/>
        <v>108</v>
      </c>
      <c r="AE445" s="224">
        <f t="shared" si="117"/>
        <v>0</v>
      </c>
      <c r="AF445" s="224">
        <f t="shared" si="118"/>
        <v>173.5</v>
      </c>
      <c r="AG445" s="224">
        <f t="shared" si="119"/>
        <v>10.8</v>
      </c>
      <c r="AH445" s="257">
        <f t="shared" si="121"/>
        <v>0</v>
      </c>
      <c r="AI445" s="258">
        <f t="shared" si="122"/>
        <v>0</v>
      </c>
      <c r="AJ445" s="55">
        <f>SUMIFS('tuot-INFO'!W:W,'tuot-INFO'!$A:$A,'tuot-PVÄ'!B445)</f>
        <v>71.702999999999989</v>
      </c>
      <c r="AK445" s="55">
        <f>SUMIFS('tuot-INFO'!X:X,'tuot-INFO'!$A:$A,'tuot-PVÄ'!B445)</f>
        <v>7.710000000000008</v>
      </c>
    </row>
    <row r="446" spans="1:37" x14ac:dyDescent="0.25">
      <c r="A446" s="169">
        <f t="shared" si="120"/>
        <v>42932</v>
      </c>
      <c r="B446" s="23">
        <f>ROUNDUP((A446-Yleistiedot!$B$4)/7,0)</f>
        <v>81</v>
      </c>
      <c r="C446" s="16"/>
      <c r="D446" s="25"/>
      <c r="E446" s="25"/>
      <c r="F446" s="25"/>
      <c r="G446" s="25"/>
      <c r="H446" s="25"/>
      <c r="I446" s="65">
        <f t="shared" si="115"/>
        <v>0</v>
      </c>
      <c r="J446" s="26"/>
      <c r="K446" s="25"/>
      <c r="L446" s="16"/>
      <c r="M446" s="16"/>
      <c r="N446" s="25"/>
      <c r="O446" s="30"/>
      <c r="P446" s="252">
        <f t="shared" si="127"/>
        <v>9990</v>
      </c>
      <c r="Q446" s="253">
        <f t="shared" si="128"/>
        <v>0</v>
      </c>
      <c r="R446" s="253">
        <f t="shared" si="129"/>
        <v>0</v>
      </c>
      <c r="S446" s="251">
        <f>SUMIFS('tuot-rehukirjanpito'!D:D,'tuot-rehukirjanpito'!A:A,A446)</f>
        <v>0</v>
      </c>
      <c r="T446" s="254">
        <f t="shared" si="123"/>
        <v>1098.9000000000001</v>
      </c>
      <c r="U446" s="254">
        <f t="shared" si="124"/>
        <v>1098.8999999999999</v>
      </c>
      <c r="V446" s="252">
        <f t="shared" si="125"/>
        <v>-487911.60000000382</v>
      </c>
      <c r="W446" s="255">
        <f t="shared" si="126"/>
        <v>-444.00000000000341</v>
      </c>
      <c r="X446" s="256" t="str">
        <f t="shared" si="130"/>
        <v/>
      </c>
      <c r="Y446" s="256" t="str">
        <f t="shared" si="131"/>
        <v/>
      </c>
      <c r="Z446" s="224" t="str">
        <f>IF(IFERROR(INDEX('tuot-rehukirjanpito'!I:I,MATCH(A446,'tuot-rehukirjanpito'!G:G,0)),)=0,"",INDEX('tuot-rehukirjanpito'!I:I,MATCH(A446,'tuot-rehukirjanpito'!G:G,0)))</f>
        <v/>
      </c>
      <c r="AA446" s="224">
        <f>SUMIFS('tuot-INFO'!$K$10:$K$115,'tuot-INFO'!$A$10:$A$115,'tuot-PVÄ'!B446)</f>
        <v>66.099999999999994</v>
      </c>
      <c r="AB446" s="224">
        <f>SUMIFS('rehu-vesi-INFO'!$R:$R,'rehu-vesi-INFO'!$A:$A,'tuot-PVÄ'!B446)</f>
        <v>1735</v>
      </c>
      <c r="AC446" s="224">
        <f>SUMIFS('rehu-vesi-INFO'!$S:$S,'rehu-vesi-INFO'!$A:$A,'tuot-PVÄ'!B446)</f>
        <v>1843</v>
      </c>
      <c r="AD446" s="224">
        <f t="shared" si="116"/>
        <v>108</v>
      </c>
      <c r="AE446" s="224">
        <f t="shared" si="117"/>
        <v>0</v>
      </c>
      <c r="AF446" s="224">
        <f t="shared" si="118"/>
        <v>173.5</v>
      </c>
      <c r="AG446" s="224">
        <f t="shared" si="119"/>
        <v>10.8</v>
      </c>
      <c r="AH446" s="257">
        <f t="shared" si="121"/>
        <v>0</v>
      </c>
      <c r="AI446" s="258">
        <f t="shared" si="122"/>
        <v>0</v>
      </c>
      <c r="AJ446" s="55">
        <f>SUMIFS('tuot-INFO'!W:W,'tuot-INFO'!$A:$A,'tuot-PVÄ'!B446)</f>
        <v>71.702999999999989</v>
      </c>
      <c r="AK446" s="55">
        <f>SUMIFS('tuot-INFO'!X:X,'tuot-INFO'!$A:$A,'tuot-PVÄ'!B446)</f>
        <v>7.710000000000008</v>
      </c>
    </row>
    <row r="447" spans="1:37" x14ac:dyDescent="0.25">
      <c r="A447" s="169">
        <f t="shared" si="120"/>
        <v>42933</v>
      </c>
      <c r="B447" s="23">
        <f>ROUNDUP((A447-Yleistiedot!$B$4)/7,0)</f>
        <v>81</v>
      </c>
      <c r="C447" s="16"/>
      <c r="D447" s="25"/>
      <c r="E447" s="25"/>
      <c r="F447" s="25"/>
      <c r="G447" s="25"/>
      <c r="H447" s="25"/>
      <c r="I447" s="65">
        <f t="shared" si="115"/>
        <v>0</v>
      </c>
      <c r="J447" s="26"/>
      <c r="K447" s="25"/>
      <c r="L447" s="16"/>
      <c r="M447" s="16"/>
      <c r="N447" s="25"/>
      <c r="O447" s="30"/>
      <c r="P447" s="252">
        <f t="shared" si="127"/>
        <v>9990</v>
      </c>
      <c r="Q447" s="253">
        <f t="shared" si="128"/>
        <v>0</v>
      </c>
      <c r="R447" s="253">
        <f t="shared" si="129"/>
        <v>0</v>
      </c>
      <c r="S447" s="251">
        <f>SUMIFS('tuot-rehukirjanpito'!D:D,'tuot-rehukirjanpito'!A:A,A447)</f>
        <v>0</v>
      </c>
      <c r="T447" s="254">
        <f t="shared" si="123"/>
        <v>1098.9000000000001</v>
      </c>
      <c r="U447" s="254">
        <f t="shared" si="124"/>
        <v>1098.8999999999999</v>
      </c>
      <c r="V447" s="252">
        <f t="shared" si="125"/>
        <v>-489010.50000000384</v>
      </c>
      <c r="W447" s="255">
        <f t="shared" si="126"/>
        <v>-445.00000000000347</v>
      </c>
      <c r="X447" s="256" t="str">
        <f t="shared" si="130"/>
        <v/>
      </c>
      <c r="Y447" s="256" t="str">
        <f t="shared" si="131"/>
        <v/>
      </c>
      <c r="Z447" s="224" t="str">
        <f>IF(IFERROR(INDEX('tuot-rehukirjanpito'!I:I,MATCH(A447,'tuot-rehukirjanpito'!G:G,0)),)=0,"",INDEX('tuot-rehukirjanpito'!I:I,MATCH(A447,'tuot-rehukirjanpito'!G:G,0)))</f>
        <v/>
      </c>
      <c r="AA447" s="224">
        <f>SUMIFS('tuot-INFO'!$K$10:$K$115,'tuot-INFO'!$A$10:$A$115,'tuot-PVÄ'!B447)</f>
        <v>66.099999999999994</v>
      </c>
      <c r="AB447" s="224">
        <f>SUMIFS('rehu-vesi-INFO'!$R:$R,'rehu-vesi-INFO'!$A:$A,'tuot-PVÄ'!B447)</f>
        <v>1735</v>
      </c>
      <c r="AC447" s="224">
        <f>SUMIFS('rehu-vesi-INFO'!$S:$S,'rehu-vesi-INFO'!$A:$A,'tuot-PVÄ'!B447)</f>
        <v>1843</v>
      </c>
      <c r="AD447" s="224">
        <f t="shared" si="116"/>
        <v>108</v>
      </c>
      <c r="AE447" s="224">
        <f t="shared" si="117"/>
        <v>0</v>
      </c>
      <c r="AF447" s="224">
        <f t="shared" si="118"/>
        <v>173.5</v>
      </c>
      <c r="AG447" s="224">
        <f t="shared" si="119"/>
        <v>10.8</v>
      </c>
      <c r="AH447" s="257">
        <f t="shared" si="121"/>
        <v>0</v>
      </c>
      <c r="AI447" s="258">
        <f t="shared" si="122"/>
        <v>0</v>
      </c>
      <c r="AJ447" s="55">
        <f>SUMIFS('tuot-INFO'!W:W,'tuot-INFO'!$A:$A,'tuot-PVÄ'!B447)</f>
        <v>71.702999999999989</v>
      </c>
      <c r="AK447" s="55">
        <f>SUMIFS('tuot-INFO'!X:X,'tuot-INFO'!$A:$A,'tuot-PVÄ'!B447)</f>
        <v>7.710000000000008</v>
      </c>
    </row>
    <row r="448" spans="1:37" x14ac:dyDescent="0.25">
      <c r="A448" s="169">
        <f t="shared" si="120"/>
        <v>42934</v>
      </c>
      <c r="B448" s="23">
        <f>ROUNDUP((A448-Yleistiedot!$B$4)/7,0)</f>
        <v>81</v>
      </c>
      <c r="C448" s="16"/>
      <c r="D448" s="25"/>
      <c r="E448" s="25"/>
      <c r="F448" s="25"/>
      <c r="G448" s="25"/>
      <c r="H448" s="25"/>
      <c r="I448" s="65">
        <f t="shared" si="115"/>
        <v>0</v>
      </c>
      <c r="J448" s="26"/>
      <c r="K448" s="25"/>
      <c r="L448" s="16"/>
      <c r="M448" s="16"/>
      <c r="N448" s="25"/>
      <c r="O448" s="30"/>
      <c r="P448" s="252">
        <f t="shared" si="127"/>
        <v>9990</v>
      </c>
      <c r="Q448" s="253">
        <f t="shared" si="128"/>
        <v>0</v>
      </c>
      <c r="R448" s="253">
        <f t="shared" si="129"/>
        <v>0</v>
      </c>
      <c r="S448" s="251">
        <f>SUMIFS('tuot-rehukirjanpito'!D:D,'tuot-rehukirjanpito'!A:A,A448)</f>
        <v>0</v>
      </c>
      <c r="T448" s="254">
        <f t="shared" si="123"/>
        <v>1098.9000000000001</v>
      </c>
      <c r="U448" s="254">
        <f t="shared" si="124"/>
        <v>1098.8999999999999</v>
      </c>
      <c r="V448" s="252">
        <f t="shared" si="125"/>
        <v>-490109.40000000386</v>
      </c>
      <c r="W448" s="255">
        <f t="shared" si="126"/>
        <v>-446.00000000000347</v>
      </c>
      <c r="X448" s="256" t="str">
        <f t="shared" si="130"/>
        <v/>
      </c>
      <c r="Y448" s="256" t="str">
        <f t="shared" si="131"/>
        <v/>
      </c>
      <c r="Z448" s="224" t="str">
        <f>IF(IFERROR(INDEX('tuot-rehukirjanpito'!I:I,MATCH(A448,'tuot-rehukirjanpito'!G:G,0)),)=0,"",INDEX('tuot-rehukirjanpito'!I:I,MATCH(A448,'tuot-rehukirjanpito'!G:G,0)))</f>
        <v/>
      </c>
      <c r="AA448" s="224">
        <f>SUMIFS('tuot-INFO'!$K$10:$K$115,'tuot-INFO'!$A$10:$A$115,'tuot-PVÄ'!B448)</f>
        <v>66.099999999999994</v>
      </c>
      <c r="AB448" s="224">
        <f>SUMIFS('rehu-vesi-INFO'!$R:$R,'rehu-vesi-INFO'!$A:$A,'tuot-PVÄ'!B448)</f>
        <v>1735</v>
      </c>
      <c r="AC448" s="224">
        <f>SUMIFS('rehu-vesi-INFO'!$S:$S,'rehu-vesi-INFO'!$A:$A,'tuot-PVÄ'!B448)</f>
        <v>1843</v>
      </c>
      <c r="AD448" s="224">
        <f t="shared" si="116"/>
        <v>108</v>
      </c>
      <c r="AE448" s="224">
        <f t="shared" si="117"/>
        <v>0</v>
      </c>
      <c r="AF448" s="224">
        <f t="shared" si="118"/>
        <v>173.5</v>
      </c>
      <c r="AG448" s="224">
        <f t="shared" si="119"/>
        <v>10.8</v>
      </c>
      <c r="AH448" s="257">
        <f t="shared" si="121"/>
        <v>0</v>
      </c>
      <c r="AI448" s="258">
        <f t="shared" si="122"/>
        <v>0</v>
      </c>
      <c r="AJ448" s="55">
        <f>SUMIFS('tuot-INFO'!W:W,'tuot-INFO'!$A:$A,'tuot-PVÄ'!B448)</f>
        <v>71.702999999999989</v>
      </c>
      <c r="AK448" s="55">
        <f>SUMIFS('tuot-INFO'!X:X,'tuot-INFO'!$A:$A,'tuot-PVÄ'!B448)</f>
        <v>7.710000000000008</v>
      </c>
    </row>
    <row r="449" spans="1:37" x14ac:dyDescent="0.25">
      <c r="A449" s="169">
        <f t="shared" si="120"/>
        <v>42935</v>
      </c>
      <c r="B449" s="23">
        <f>ROUNDUP((A449-Yleistiedot!$B$4)/7,0)</f>
        <v>81</v>
      </c>
      <c r="C449" s="16"/>
      <c r="D449" s="25"/>
      <c r="E449" s="25"/>
      <c r="F449" s="25"/>
      <c r="G449" s="25"/>
      <c r="H449" s="25"/>
      <c r="I449" s="65">
        <f t="shared" si="115"/>
        <v>0</v>
      </c>
      <c r="J449" s="26"/>
      <c r="K449" s="25"/>
      <c r="L449" s="16"/>
      <c r="M449" s="16"/>
      <c r="N449" s="25"/>
      <c r="O449" s="30"/>
      <c r="P449" s="252">
        <f t="shared" si="127"/>
        <v>9990</v>
      </c>
      <c r="Q449" s="253">
        <f t="shared" si="128"/>
        <v>0</v>
      </c>
      <c r="R449" s="253">
        <f t="shared" si="129"/>
        <v>0</v>
      </c>
      <c r="S449" s="251">
        <f>SUMIFS('tuot-rehukirjanpito'!D:D,'tuot-rehukirjanpito'!A:A,A449)</f>
        <v>0</v>
      </c>
      <c r="T449" s="254">
        <f t="shared" si="123"/>
        <v>1098.9000000000001</v>
      </c>
      <c r="U449" s="254">
        <f t="shared" si="124"/>
        <v>1098.8999999999999</v>
      </c>
      <c r="V449" s="252">
        <f t="shared" si="125"/>
        <v>-491208.30000000389</v>
      </c>
      <c r="W449" s="255">
        <f t="shared" si="126"/>
        <v>-447.00000000000352</v>
      </c>
      <c r="X449" s="256" t="str">
        <f t="shared" si="130"/>
        <v/>
      </c>
      <c r="Y449" s="256" t="str">
        <f t="shared" si="131"/>
        <v/>
      </c>
      <c r="Z449" s="224" t="str">
        <f>IF(IFERROR(INDEX('tuot-rehukirjanpito'!I:I,MATCH(A449,'tuot-rehukirjanpito'!G:G,0)),)=0,"",INDEX('tuot-rehukirjanpito'!I:I,MATCH(A449,'tuot-rehukirjanpito'!G:G,0)))</f>
        <v/>
      </c>
      <c r="AA449" s="224">
        <f>SUMIFS('tuot-INFO'!$K$10:$K$115,'tuot-INFO'!$A$10:$A$115,'tuot-PVÄ'!B449)</f>
        <v>66.099999999999994</v>
      </c>
      <c r="AB449" s="224">
        <f>SUMIFS('rehu-vesi-INFO'!$R:$R,'rehu-vesi-INFO'!$A:$A,'tuot-PVÄ'!B449)</f>
        <v>1735</v>
      </c>
      <c r="AC449" s="224">
        <f>SUMIFS('rehu-vesi-INFO'!$S:$S,'rehu-vesi-INFO'!$A:$A,'tuot-PVÄ'!B449)</f>
        <v>1843</v>
      </c>
      <c r="AD449" s="224">
        <f t="shared" si="116"/>
        <v>108</v>
      </c>
      <c r="AE449" s="224">
        <f t="shared" si="117"/>
        <v>0</v>
      </c>
      <c r="AF449" s="224">
        <f t="shared" si="118"/>
        <v>173.5</v>
      </c>
      <c r="AG449" s="224">
        <f t="shared" si="119"/>
        <v>10.8</v>
      </c>
      <c r="AH449" s="257">
        <f t="shared" si="121"/>
        <v>0</v>
      </c>
      <c r="AI449" s="258">
        <f t="shared" si="122"/>
        <v>0</v>
      </c>
      <c r="AJ449" s="55">
        <f>SUMIFS('tuot-INFO'!W:W,'tuot-INFO'!$A:$A,'tuot-PVÄ'!B449)</f>
        <v>71.702999999999989</v>
      </c>
      <c r="AK449" s="55">
        <f>SUMIFS('tuot-INFO'!X:X,'tuot-INFO'!$A:$A,'tuot-PVÄ'!B449)</f>
        <v>7.710000000000008</v>
      </c>
    </row>
    <row r="450" spans="1:37" x14ac:dyDescent="0.25">
      <c r="A450" s="169">
        <f t="shared" si="120"/>
        <v>42936</v>
      </c>
      <c r="B450" s="23">
        <f>ROUNDUP((A450-Yleistiedot!$B$4)/7,0)</f>
        <v>81</v>
      </c>
      <c r="C450" s="16"/>
      <c r="D450" s="25"/>
      <c r="E450" s="25"/>
      <c r="F450" s="25"/>
      <c r="G450" s="25"/>
      <c r="H450" s="25"/>
      <c r="I450" s="65">
        <f t="shared" si="115"/>
        <v>0</v>
      </c>
      <c r="J450" s="26"/>
      <c r="K450" s="25"/>
      <c r="L450" s="16"/>
      <c r="M450" s="16"/>
      <c r="N450" s="25"/>
      <c r="O450" s="30"/>
      <c r="P450" s="252">
        <f t="shared" si="127"/>
        <v>9990</v>
      </c>
      <c r="Q450" s="253">
        <f t="shared" si="128"/>
        <v>0</v>
      </c>
      <c r="R450" s="253">
        <f t="shared" si="129"/>
        <v>0</v>
      </c>
      <c r="S450" s="251">
        <f>SUMIFS('tuot-rehukirjanpito'!D:D,'tuot-rehukirjanpito'!A:A,A450)</f>
        <v>0</v>
      </c>
      <c r="T450" s="254">
        <f t="shared" si="123"/>
        <v>1098.9000000000001</v>
      </c>
      <c r="U450" s="254">
        <f t="shared" si="124"/>
        <v>1098.8999999999999</v>
      </c>
      <c r="V450" s="252">
        <f t="shared" si="125"/>
        <v>-492307.20000000391</v>
      </c>
      <c r="W450" s="255">
        <f t="shared" si="126"/>
        <v>-448.00000000000352</v>
      </c>
      <c r="X450" s="256" t="str">
        <f t="shared" si="130"/>
        <v/>
      </c>
      <c r="Y450" s="256" t="str">
        <f t="shared" si="131"/>
        <v/>
      </c>
      <c r="Z450" s="224" t="str">
        <f>IF(IFERROR(INDEX('tuot-rehukirjanpito'!I:I,MATCH(A450,'tuot-rehukirjanpito'!G:G,0)),)=0,"",INDEX('tuot-rehukirjanpito'!I:I,MATCH(A450,'tuot-rehukirjanpito'!G:G,0)))</f>
        <v/>
      </c>
      <c r="AA450" s="224">
        <f>SUMIFS('tuot-INFO'!$K$10:$K$115,'tuot-INFO'!$A$10:$A$115,'tuot-PVÄ'!B450)</f>
        <v>66.099999999999994</v>
      </c>
      <c r="AB450" s="224">
        <f>SUMIFS('rehu-vesi-INFO'!$R:$R,'rehu-vesi-INFO'!$A:$A,'tuot-PVÄ'!B450)</f>
        <v>1735</v>
      </c>
      <c r="AC450" s="224">
        <f>SUMIFS('rehu-vesi-INFO'!$S:$S,'rehu-vesi-INFO'!$A:$A,'tuot-PVÄ'!B450)</f>
        <v>1843</v>
      </c>
      <c r="AD450" s="224">
        <f t="shared" si="116"/>
        <v>108</v>
      </c>
      <c r="AE450" s="224">
        <f t="shared" si="117"/>
        <v>0</v>
      </c>
      <c r="AF450" s="224">
        <f t="shared" si="118"/>
        <v>173.5</v>
      </c>
      <c r="AG450" s="224">
        <f t="shared" si="119"/>
        <v>10.8</v>
      </c>
      <c r="AH450" s="257">
        <f t="shared" si="121"/>
        <v>0</v>
      </c>
      <c r="AI450" s="258">
        <f t="shared" si="122"/>
        <v>0</v>
      </c>
      <c r="AJ450" s="55">
        <f>SUMIFS('tuot-INFO'!W:W,'tuot-INFO'!$A:$A,'tuot-PVÄ'!B450)</f>
        <v>71.702999999999989</v>
      </c>
      <c r="AK450" s="55">
        <f>SUMIFS('tuot-INFO'!X:X,'tuot-INFO'!$A:$A,'tuot-PVÄ'!B450)</f>
        <v>7.710000000000008</v>
      </c>
    </row>
    <row r="451" spans="1:37" x14ac:dyDescent="0.25">
      <c r="A451" s="169">
        <f t="shared" si="120"/>
        <v>42937</v>
      </c>
      <c r="B451" s="23">
        <f>ROUNDUP((A451-Yleistiedot!$B$4)/7,0)</f>
        <v>81</v>
      </c>
      <c r="C451" s="16"/>
      <c r="D451" s="25"/>
      <c r="E451" s="25"/>
      <c r="F451" s="25"/>
      <c r="G451" s="25"/>
      <c r="H451" s="25"/>
      <c r="I451" s="65">
        <f t="shared" si="115"/>
        <v>0</v>
      </c>
      <c r="J451" s="26"/>
      <c r="K451" s="25"/>
      <c r="L451" s="16"/>
      <c r="M451" s="16"/>
      <c r="N451" s="25"/>
      <c r="O451" s="30"/>
      <c r="P451" s="252">
        <f t="shared" si="127"/>
        <v>9990</v>
      </c>
      <c r="Q451" s="253">
        <f t="shared" si="128"/>
        <v>0</v>
      </c>
      <c r="R451" s="253">
        <f t="shared" si="129"/>
        <v>0</v>
      </c>
      <c r="S451" s="251">
        <f>SUMIFS('tuot-rehukirjanpito'!D:D,'tuot-rehukirjanpito'!A:A,A451)</f>
        <v>0</v>
      </c>
      <c r="T451" s="254">
        <f t="shared" si="123"/>
        <v>1098.9000000000001</v>
      </c>
      <c r="U451" s="254">
        <f t="shared" si="124"/>
        <v>1098.8999999999999</v>
      </c>
      <c r="V451" s="252">
        <f t="shared" si="125"/>
        <v>-493406.10000000393</v>
      </c>
      <c r="W451" s="255">
        <f t="shared" si="126"/>
        <v>-449.00000000000352</v>
      </c>
      <c r="X451" s="256" t="str">
        <f t="shared" si="130"/>
        <v/>
      </c>
      <c r="Y451" s="256" t="str">
        <f t="shared" si="131"/>
        <v/>
      </c>
      <c r="Z451" s="224" t="str">
        <f>IF(IFERROR(INDEX('tuot-rehukirjanpito'!I:I,MATCH(A451,'tuot-rehukirjanpito'!G:G,0)),)=0,"",INDEX('tuot-rehukirjanpito'!I:I,MATCH(A451,'tuot-rehukirjanpito'!G:G,0)))</f>
        <v/>
      </c>
      <c r="AA451" s="224">
        <f>SUMIFS('tuot-INFO'!$K$10:$K$115,'tuot-INFO'!$A$10:$A$115,'tuot-PVÄ'!B451)</f>
        <v>66.099999999999994</v>
      </c>
      <c r="AB451" s="224">
        <f>SUMIFS('rehu-vesi-INFO'!$R:$R,'rehu-vesi-INFO'!$A:$A,'tuot-PVÄ'!B451)</f>
        <v>1735</v>
      </c>
      <c r="AC451" s="224">
        <f>SUMIFS('rehu-vesi-INFO'!$S:$S,'rehu-vesi-INFO'!$A:$A,'tuot-PVÄ'!B451)</f>
        <v>1843</v>
      </c>
      <c r="AD451" s="224">
        <f t="shared" si="116"/>
        <v>108</v>
      </c>
      <c r="AE451" s="224">
        <f t="shared" si="117"/>
        <v>0</v>
      </c>
      <c r="AF451" s="224">
        <f t="shared" si="118"/>
        <v>173.5</v>
      </c>
      <c r="AG451" s="224">
        <f t="shared" si="119"/>
        <v>10.8</v>
      </c>
      <c r="AH451" s="257">
        <f t="shared" si="121"/>
        <v>0</v>
      </c>
      <c r="AI451" s="258">
        <f t="shared" si="122"/>
        <v>0</v>
      </c>
      <c r="AJ451" s="55">
        <f>SUMIFS('tuot-INFO'!W:W,'tuot-INFO'!$A:$A,'tuot-PVÄ'!B451)</f>
        <v>71.702999999999989</v>
      </c>
      <c r="AK451" s="55">
        <f>SUMIFS('tuot-INFO'!X:X,'tuot-INFO'!$A:$A,'tuot-PVÄ'!B451)</f>
        <v>7.710000000000008</v>
      </c>
    </row>
    <row r="452" spans="1:37" x14ac:dyDescent="0.25">
      <c r="A452" s="169">
        <f t="shared" si="120"/>
        <v>42938</v>
      </c>
      <c r="B452" s="23">
        <f>ROUNDUP((A452-Yleistiedot!$B$4)/7,0)</f>
        <v>82</v>
      </c>
      <c r="C452" s="16"/>
      <c r="D452" s="25"/>
      <c r="E452" s="25"/>
      <c r="F452" s="25"/>
      <c r="G452" s="25"/>
      <c r="H452" s="25"/>
      <c r="I452" s="65">
        <f t="shared" ref="I452:I515" si="132">SUM(E452:H452)</f>
        <v>0</v>
      </c>
      <c r="J452" s="26"/>
      <c r="K452" s="25"/>
      <c r="L452" s="16"/>
      <c r="M452" s="16"/>
      <c r="N452" s="25"/>
      <c r="O452" s="30"/>
      <c r="P452" s="252">
        <f t="shared" si="127"/>
        <v>9990</v>
      </c>
      <c r="Q452" s="253">
        <f t="shared" si="128"/>
        <v>0</v>
      </c>
      <c r="R452" s="253">
        <f t="shared" si="129"/>
        <v>0</v>
      </c>
      <c r="S452" s="251">
        <f>SUMIFS('tuot-rehukirjanpito'!D:D,'tuot-rehukirjanpito'!A:A,A452)</f>
        <v>0</v>
      </c>
      <c r="T452" s="254">
        <f t="shared" si="123"/>
        <v>1098.9000000000001</v>
      </c>
      <c r="U452" s="254">
        <f t="shared" si="124"/>
        <v>1098.8999999999999</v>
      </c>
      <c r="V452" s="252">
        <f t="shared" si="125"/>
        <v>-494505.00000000396</v>
      </c>
      <c r="W452" s="255">
        <f t="shared" si="126"/>
        <v>-450.00000000000358</v>
      </c>
      <c r="X452" s="256" t="str">
        <f t="shared" si="130"/>
        <v/>
      </c>
      <c r="Y452" s="256" t="str">
        <f t="shared" si="131"/>
        <v/>
      </c>
      <c r="Z452" s="224" t="str">
        <f>IF(IFERROR(INDEX('tuot-rehukirjanpito'!I:I,MATCH(A452,'tuot-rehukirjanpito'!G:G,0)),)=0,"",INDEX('tuot-rehukirjanpito'!I:I,MATCH(A452,'tuot-rehukirjanpito'!G:G,0)))</f>
        <v/>
      </c>
      <c r="AA452" s="224">
        <f>SUMIFS('tuot-INFO'!$K$10:$K$115,'tuot-INFO'!$A$10:$A$115,'tuot-PVÄ'!B452)</f>
        <v>66.099999999999994</v>
      </c>
      <c r="AB452" s="224">
        <f>SUMIFS('rehu-vesi-INFO'!$R:$R,'rehu-vesi-INFO'!$A:$A,'tuot-PVÄ'!B452)</f>
        <v>1736</v>
      </c>
      <c r="AC452" s="224">
        <f>SUMIFS('rehu-vesi-INFO'!$S:$S,'rehu-vesi-INFO'!$A:$A,'tuot-PVÄ'!B452)</f>
        <v>1844</v>
      </c>
      <c r="AD452" s="224">
        <f t="shared" ref="AD452:AD515" si="133">AC452-AB452</f>
        <v>108</v>
      </c>
      <c r="AE452" s="224">
        <f t="shared" ref="AE452:AE515" si="134">K452/10</f>
        <v>0</v>
      </c>
      <c r="AF452" s="224">
        <f t="shared" ref="AF452:AF515" si="135">AB452/10</f>
        <v>173.6</v>
      </c>
      <c r="AG452" s="224">
        <f t="shared" ref="AG452:AG515" si="136">AD452/10</f>
        <v>10.8</v>
      </c>
      <c r="AH452" s="257">
        <f t="shared" si="121"/>
        <v>0</v>
      </c>
      <c r="AI452" s="258">
        <f t="shared" si="122"/>
        <v>0</v>
      </c>
      <c r="AJ452" s="55">
        <f>SUMIFS('tuot-INFO'!W:W,'tuot-INFO'!$A:$A,'tuot-PVÄ'!B452)</f>
        <v>71.052000000000007</v>
      </c>
      <c r="AK452" s="55">
        <f>SUMIFS('tuot-INFO'!X:X,'tuot-INFO'!$A:$A,'tuot-PVÄ'!B452)</f>
        <v>7.6400000000000006</v>
      </c>
    </row>
    <row r="453" spans="1:37" x14ac:dyDescent="0.25">
      <c r="A453" s="169">
        <f t="shared" ref="A453:A516" si="137">A452+1</f>
        <v>42939</v>
      </c>
      <c r="B453" s="23">
        <f>ROUNDUP((A453-Yleistiedot!$B$4)/7,0)</f>
        <v>82</v>
      </c>
      <c r="C453" s="16"/>
      <c r="D453" s="25"/>
      <c r="E453" s="25"/>
      <c r="F453" s="25"/>
      <c r="G453" s="25"/>
      <c r="H453" s="25"/>
      <c r="I453" s="65">
        <f t="shared" si="132"/>
        <v>0</v>
      </c>
      <c r="J453" s="26"/>
      <c r="K453" s="25"/>
      <c r="L453" s="16"/>
      <c r="M453" s="16"/>
      <c r="N453" s="25"/>
      <c r="O453" s="30"/>
      <c r="P453" s="252">
        <f t="shared" si="127"/>
        <v>9990</v>
      </c>
      <c r="Q453" s="253">
        <f t="shared" si="128"/>
        <v>0</v>
      </c>
      <c r="R453" s="253">
        <f t="shared" si="129"/>
        <v>0</v>
      </c>
      <c r="S453" s="251">
        <f>SUMIFS('tuot-rehukirjanpito'!D:D,'tuot-rehukirjanpito'!A:A,A453)</f>
        <v>0</v>
      </c>
      <c r="T453" s="254">
        <f t="shared" si="123"/>
        <v>1098.9000000000001</v>
      </c>
      <c r="U453" s="254">
        <f t="shared" si="124"/>
        <v>1098.8999999999999</v>
      </c>
      <c r="V453" s="252">
        <f t="shared" si="125"/>
        <v>-495603.90000000398</v>
      </c>
      <c r="W453" s="255">
        <f t="shared" si="126"/>
        <v>-451.00000000000358</v>
      </c>
      <c r="X453" s="256" t="str">
        <f t="shared" si="130"/>
        <v/>
      </c>
      <c r="Y453" s="256" t="str">
        <f t="shared" si="131"/>
        <v/>
      </c>
      <c r="Z453" s="224" t="str">
        <f>IF(IFERROR(INDEX('tuot-rehukirjanpito'!I:I,MATCH(A453,'tuot-rehukirjanpito'!G:G,0)),)=0,"",INDEX('tuot-rehukirjanpito'!I:I,MATCH(A453,'tuot-rehukirjanpito'!G:G,0)))</f>
        <v/>
      </c>
      <c r="AA453" s="224">
        <f>SUMIFS('tuot-INFO'!$K$10:$K$115,'tuot-INFO'!$A$10:$A$115,'tuot-PVÄ'!B453)</f>
        <v>66.099999999999994</v>
      </c>
      <c r="AB453" s="224">
        <f>SUMIFS('rehu-vesi-INFO'!$R:$R,'rehu-vesi-INFO'!$A:$A,'tuot-PVÄ'!B453)</f>
        <v>1736</v>
      </c>
      <c r="AC453" s="224">
        <f>SUMIFS('rehu-vesi-INFO'!$S:$S,'rehu-vesi-INFO'!$A:$A,'tuot-PVÄ'!B453)</f>
        <v>1844</v>
      </c>
      <c r="AD453" s="224">
        <f t="shared" si="133"/>
        <v>108</v>
      </c>
      <c r="AE453" s="224">
        <f t="shared" si="134"/>
        <v>0</v>
      </c>
      <c r="AF453" s="224">
        <f t="shared" si="135"/>
        <v>173.6</v>
      </c>
      <c r="AG453" s="224">
        <f t="shared" si="136"/>
        <v>10.8</v>
      </c>
      <c r="AH453" s="257">
        <f t="shared" si="121"/>
        <v>0</v>
      </c>
      <c r="AI453" s="258">
        <f t="shared" si="122"/>
        <v>0</v>
      </c>
      <c r="AJ453" s="55">
        <f>SUMIFS('tuot-INFO'!W:W,'tuot-INFO'!$A:$A,'tuot-PVÄ'!B453)</f>
        <v>71.052000000000007</v>
      </c>
      <c r="AK453" s="55">
        <f>SUMIFS('tuot-INFO'!X:X,'tuot-INFO'!$A:$A,'tuot-PVÄ'!B453)</f>
        <v>7.6400000000000006</v>
      </c>
    </row>
    <row r="454" spans="1:37" x14ac:dyDescent="0.25">
      <c r="A454" s="169">
        <f t="shared" si="137"/>
        <v>42940</v>
      </c>
      <c r="B454" s="23">
        <f>ROUNDUP((A454-Yleistiedot!$B$4)/7,0)</f>
        <v>82</v>
      </c>
      <c r="C454" s="16"/>
      <c r="D454" s="25"/>
      <c r="E454" s="25"/>
      <c r="F454" s="25"/>
      <c r="G454" s="25"/>
      <c r="H454" s="25"/>
      <c r="I454" s="65">
        <f t="shared" si="132"/>
        <v>0</v>
      </c>
      <c r="J454" s="26"/>
      <c r="K454" s="25"/>
      <c r="L454" s="16"/>
      <c r="M454" s="16"/>
      <c r="N454" s="25"/>
      <c r="O454" s="30"/>
      <c r="P454" s="252">
        <f t="shared" si="127"/>
        <v>9990</v>
      </c>
      <c r="Q454" s="253">
        <f t="shared" si="128"/>
        <v>0</v>
      </c>
      <c r="R454" s="253">
        <f t="shared" si="129"/>
        <v>0</v>
      </c>
      <c r="S454" s="251">
        <f>SUMIFS('tuot-rehukirjanpito'!D:D,'tuot-rehukirjanpito'!A:A,A454)</f>
        <v>0</v>
      </c>
      <c r="T454" s="254">
        <f t="shared" si="123"/>
        <v>1098.9000000000001</v>
      </c>
      <c r="U454" s="254">
        <f t="shared" si="124"/>
        <v>1098.8999999999999</v>
      </c>
      <c r="V454" s="252">
        <f t="shared" si="125"/>
        <v>-496702.800000004</v>
      </c>
      <c r="W454" s="255">
        <f t="shared" si="126"/>
        <v>-452.00000000000358</v>
      </c>
      <c r="X454" s="256" t="str">
        <f t="shared" si="130"/>
        <v/>
      </c>
      <c r="Y454" s="256" t="str">
        <f t="shared" si="131"/>
        <v/>
      </c>
      <c r="Z454" s="224" t="str">
        <f>IF(IFERROR(INDEX('tuot-rehukirjanpito'!I:I,MATCH(A454,'tuot-rehukirjanpito'!G:G,0)),)=0,"",INDEX('tuot-rehukirjanpito'!I:I,MATCH(A454,'tuot-rehukirjanpito'!G:G,0)))</f>
        <v/>
      </c>
      <c r="AA454" s="224">
        <f>SUMIFS('tuot-INFO'!$K$10:$K$115,'tuot-INFO'!$A$10:$A$115,'tuot-PVÄ'!B454)</f>
        <v>66.099999999999994</v>
      </c>
      <c r="AB454" s="224">
        <f>SUMIFS('rehu-vesi-INFO'!$R:$R,'rehu-vesi-INFO'!$A:$A,'tuot-PVÄ'!B454)</f>
        <v>1736</v>
      </c>
      <c r="AC454" s="224">
        <f>SUMIFS('rehu-vesi-INFO'!$S:$S,'rehu-vesi-INFO'!$A:$A,'tuot-PVÄ'!B454)</f>
        <v>1844</v>
      </c>
      <c r="AD454" s="224">
        <f t="shared" si="133"/>
        <v>108</v>
      </c>
      <c r="AE454" s="224">
        <f t="shared" si="134"/>
        <v>0</v>
      </c>
      <c r="AF454" s="224">
        <f t="shared" si="135"/>
        <v>173.6</v>
      </c>
      <c r="AG454" s="224">
        <f t="shared" si="136"/>
        <v>10.8</v>
      </c>
      <c r="AH454" s="257">
        <f t="shared" ref="AH454:AH517" si="138">IFERROR(AVERAGE(L452:L454),)</f>
        <v>0</v>
      </c>
      <c r="AI454" s="258">
        <f t="shared" ref="AI454:AI517" si="139">AVERAGE(Q453+R453,Q454+R454,Q452+R452)</f>
        <v>0</v>
      </c>
      <c r="AJ454" s="55">
        <f>SUMIFS('tuot-INFO'!W:W,'tuot-INFO'!$A:$A,'tuot-PVÄ'!B454)</f>
        <v>71.052000000000007</v>
      </c>
      <c r="AK454" s="55">
        <f>SUMIFS('tuot-INFO'!X:X,'tuot-INFO'!$A:$A,'tuot-PVÄ'!B454)</f>
        <v>7.6400000000000006</v>
      </c>
    </row>
    <row r="455" spans="1:37" x14ac:dyDescent="0.25">
      <c r="A455" s="169">
        <f t="shared" si="137"/>
        <v>42941</v>
      </c>
      <c r="B455" s="23">
        <f>ROUNDUP((A455-Yleistiedot!$B$4)/7,0)</f>
        <v>82</v>
      </c>
      <c r="C455" s="16"/>
      <c r="D455" s="25"/>
      <c r="E455" s="25"/>
      <c r="F455" s="25"/>
      <c r="G455" s="25"/>
      <c r="H455" s="25"/>
      <c r="I455" s="65">
        <f t="shared" si="132"/>
        <v>0</v>
      </c>
      <c r="J455" s="26"/>
      <c r="K455" s="25"/>
      <c r="L455" s="16"/>
      <c r="M455" s="16"/>
      <c r="N455" s="25"/>
      <c r="O455" s="30"/>
      <c r="P455" s="252">
        <f t="shared" si="127"/>
        <v>9990</v>
      </c>
      <c r="Q455" s="253">
        <f t="shared" si="128"/>
        <v>0</v>
      </c>
      <c r="R455" s="253">
        <f t="shared" si="129"/>
        <v>0</v>
      </c>
      <c r="S455" s="251">
        <f>SUMIFS('tuot-rehukirjanpito'!D:D,'tuot-rehukirjanpito'!A:A,A455)</f>
        <v>0</v>
      </c>
      <c r="T455" s="254">
        <f t="shared" si="123"/>
        <v>1098.9000000000001</v>
      </c>
      <c r="U455" s="254">
        <f t="shared" si="124"/>
        <v>1098.8999999999999</v>
      </c>
      <c r="V455" s="252">
        <f t="shared" si="125"/>
        <v>-497801.70000000403</v>
      </c>
      <c r="W455" s="255">
        <f t="shared" si="126"/>
        <v>-453.00000000000364</v>
      </c>
      <c r="X455" s="256" t="str">
        <f t="shared" si="130"/>
        <v/>
      </c>
      <c r="Y455" s="256" t="str">
        <f t="shared" si="131"/>
        <v/>
      </c>
      <c r="Z455" s="224" t="str">
        <f>IF(IFERROR(INDEX('tuot-rehukirjanpito'!I:I,MATCH(A455,'tuot-rehukirjanpito'!G:G,0)),)=0,"",INDEX('tuot-rehukirjanpito'!I:I,MATCH(A455,'tuot-rehukirjanpito'!G:G,0)))</f>
        <v/>
      </c>
      <c r="AA455" s="224">
        <f>SUMIFS('tuot-INFO'!$K$10:$K$115,'tuot-INFO'!$A$10:$A$115,'tuot-PVÄ'!B455)</f>
        <v>66.099999999999994</v>
      </c>
      <c r="AB455" s="224">
        <f>SUMIFS('rehu-vesi-INFO'!$R:$R,'rehu-vesi-INFO'!$A:$A,'tuot-PVÄ'!B455)</f>
        <v>1736</v>
      </c>
      <c r="AC455" s="224">
        <f>SUMIFS('rehu-vesi-INFO'!$S:$S,'rehu-vesi-INFO'!$A:$A,'tuot-PVÄ'!B455)</f>
        <v>1844</v>
      </c>
      <c r="AD455" s="224">
        <f t="shared" si="133"/>
        <v>108</v>
      </c>
      <c r="AE455" s="224">
        <f t="shared" si="134"/>
        <v>0</v>
      </c>
      <c r="AF455" s="224">
        <f t="shared" si="135"/>
        <v>173.6</v>
      </c>
      <c r="AG455" s="224">
        <f t="shared" si="136"/>
        <v>10.8</v>
      </c>
      <c r="AH455" s="257">
        <f t="shared" si="138"/>
        <v>0</v>
      </c>
      <c r="AI455" s="258">
        <f t="shared" si="139"/>
        <v>0</v>
      </c>
      <c r="AJ455" s="55">
        <f>SUMIFS('tuot-INFO'!W:W,'tuot-INFO'!$A:$A,'tuot-PVÄ'!B455)</f>
        <v>71.052000000000007</v>
      </c>
      <c r="AK455" s="55">
        <f>SUMIFS('tuot-INFO'!X:X,'tuot-INFO'!$A:$A,'tuot-PVÄ'!B455)</f>
        <v>7.6400000000000006</v>
      </c>
    </row>
    <row r="456" spans="1:37" x14ac:dyDescent="0.25">
      <c r="A456" s="169">
        <f t="shared" si="137"/>
        <v>42942</v>
      </c>
      <c r="B456" s="23">
        <f>ROUNDUP((A456-Yleistiedot!$B$4)/7,0)</f>
        <v>82</v>
      </c>
      <c r="C456" s="16"/>
      <c r="D456" s="25"/>
      <c r="E456" s="25"/>
      <c r="F456" s="25"/>
      <c r="G456" s="25"/>
      <c r="H456" s="25"/>
      <c r="I456" s="65">
        <f t="shared" si="132"/>
        <v>0</v>
      </c>
      <c r="J456" s="26"/>
      <c r="K456" s="25"/>
      <c r="L456" s="16"/>
      <c r="M456" s="16"/>
      <c r="N456" s="25"/>
      <c r="O456" s="30"/>
      <c r="P456" s="252">
        <f t="shared" si="127"/>
        <v>9990</v>
      </c>
      <c r="Q456" s="253">
        <f t="shared" si="128"/>
        <v>0</v>
      </c>
      <c r="R456" s="253">
        <f t="shared" si="129"/>
        <v>0</v>
      </c>
      <c r="S456" s="251">
        <f>SUMIFS('tuot-rehukirjanpito'!D:D,'tuot-rehukirjanpito'!A:A,A456)</f>
        <v>0</v>
      </c>
      <c r="T456" s="254">
        <f t="shared" ref="T456:T519" si="140">IF(L456&gt;0,P456*L456/1000,T455)</f>
        <v>1098.9000000000001</v>
      </c>
      <c r="U456" s="254">
        <f t="shared" ref="U456:U519" si="141">IFERROR(AVERAGEIF(T450:T456,"&lt;&gt;0"),0)</f>
        <v>1098.8999999999999</v>
      </c>
      <c r="V456" s="252">
        <f t="shared" ref="V456:V519" si="142">V455+S456-T456</f>
        <v>-498900.60000000405</v>
      </c>
      <c r="W456" s="255">
        <f t="shared" ref="W456:W519" si="143">IFERROR(V456/T456,"")</f>
        <v>-454.00000000000364</v>
      </c>
      <c r="X456" s="256" t="str">
        <f t="shared" si="130"/>
        <v/>
      </c>
      <c r="Y456" s="256" t="str">
        <f t="shared" si="131"/>
        <v/>
      </c>
      <c r="Z456" s="224" t="str">
        <f>IF(IFERROR(INDEX('tuot-rehukirjanpito'!I:I,MATCH(A456,'tuot-rehukirjanpito'!G:G,0)),)=0,"",INDEX('tuot-rehukirjanpito'!I:I,MATCH(A456,'tuot-rehukirjanpito'!G:G,0)))</f>
        <v/>
      </c>
      <c r="AA456" s="224">
        <f>SUMIFS('tuot-INFO'!$K$10:$K$115,'tuot-INFO'!$A$10:$A$115,'tuot-PVÄ'!B456)</f>
        <v>66.099999999999994</v>
      </c>
      <c r="AB456" s="224">
        <f>SUMIFS('rehu-vesi-INFO'!$R:$R,'rehu-vesi-INFO'!$A:$A,'tuot-PVÄ'!B456)</f>
        <v>1736</v>
      </c>
      <c r="AC456" s="224">
        <f>SUMIFS('rehu-vesi-INFO'!$S:$S,'rehu-vesi-INFO'!$A:$A,'tuot-PVÄ'!B456)</f>
        <v>1844</v>
      </c>
      <c r="AD456" s="224">
        <f t="shared" si="133"/>
        <v>108</v>
      </c>
      <c r="AE456" s="224">
        <f t="shared" si="134"/>
        <v>0</v>
      </c>
      <c r="AF456" s="224">
        <f t="shared" si="135"/>
        <v>173.6</v>
      </c>
      <c r="AG456" s="224">
        <f t="shared" si="136"/>
        <v>10.8</v>
      </c>
      <c r="AH456" s="257">
        <f t="shared" si="138"/>
        <v>0</v>
      </c>
      <c r="AI456" s="258">
        <f t="shared" si="139"/>
        <v>0</v>
      </c>
      <c r="AJ456" s="55">
        <f>SUMIFS('tuot-INFO'!W:W,'tuot-INFO'!$A:$A,'tuot-PVÄ'!B456)</f>
        <v>71.052000000000007</v>
      </c>
      <c r="AK456" s="55">
        <f>SUMIFS('tuot-INFO'!X:X,'tuot-INFO'!$A:$A,'tuot-PVÄ'!B456)</f>
        <v>7.6400000000000006</v>
      </c>
    </row>
    <row r="457" spans="1:37" x14ac:dyDescent="0.25">
      <c r="A457" s="169">
        <f t="shared" si="137"/>
        <v>42943</v>
      </c>
      <c r="B457" s="23">
        <f>ROUNDUP((A457-Yleistiedot!$B$4)/7,0)</f>
        <v>82</v>
      </c>
      <c r="C457" s="16"/>
      <c r="D457" s="25"/>
      <c r="E457" s="25"/>
      <c r="F457" s="25"/>
      <c r="G457" s="25"/>
      <c r="H457" s="25"/>
      <c r="I457" s="65">
        <f t="shared" si="132"/>
        <v>0</v>
      </c>
      <c r="J457" s="26"/>
      <c r="K457" s="25"/>
      <c r="L457" s="16"/>
      <c r="M457" s="16"/>
      <c r="N457" s="25"/>
      <c r="O457" s="30"/>
      <c r="P457" s="252">
        <f t="shared" si="127"/>
        <v>9990</v>
      </c>
      <c r="Q457" s="253">
        <f t="shared" si="128"/>
        <v>0</v>
      </c>
      <c r="R457" s="253">
        <f t="shared" si="129"/>
        <v>0</v>
      </c>
      <c r="S457" s="251">
        <f>SUMIFS('tuot-rehukirjanpito'!D:D,'tuot-rehukirjanpito'!A:A,A457)</f>
        <v>0</v>
      </c>
      <c r="T457" s="254">
        <f t="shared" si="140"/>
        <v>1098.9000000000001</v>
      </c>
      <c r="U457" s="254">
        <f t="shared" si="141"/>
        <v>1098.8999999999999</v>
      </c>
      <c r="V457" s="252">
        <f t="shared" si="142"/>
        <v>-499999.50000000407</v>
      </c>
      <c r="W457" s="255">
        <f t="shared" si="143"/>
        <v>-455.00000000000369</v>
      </c>
      <c r="X457" s="256" t="str">
        <f t="shared" si="130"/>
        <v/>
      </c>
      <c r="Y457" s="256" t="str">
        <f t="shared" si="131"/>
        <v/>
      </c>
      <c r="Z457" s="224" t="str">
        <f>IF(IFERROR(INDEX('tuot-rehukirjanpito'!I:I,MATCH(A457,'tuot-rehukirjanpito'!G:G,0)),)=0,"",INDEX('tuot-rehukirjanpito'!I:I,MATCH(A457,'tuot-rehukirjanpito'!G:G,0)))</f>
        <v/>
      </c>
      <c r="AA457" s="224">
        <f>SUMIFS('tuot-INFO'!$K$10:$K$115,'tuot-INFO'!$A$10:$A$115,'tuot-PVÄ'!B457)</f>
        <v>66.099999999999994</v>
      </c>
      <c r="AB457" s="224">
        <f>SUMIFS('rehu-vesi-INFO'!$R:$R,'rehu-vesi-INFO'!$A:$A,'tuot-PVÄ'!B457)</f>
        <v>1736</v>
      </c>
      <c r="AC457" s="224">
        <f>SUMIFS('rehu-vesi-INFO'!$S:$S,'rehu-vesi-INFO'!$A:$A,'tuot-PVÄ'!B457)</f>
        <v>1844</v>
      </c>
      <c r="AD457" s="224">
        <f t="shared" si="133"/>
        <v>108</v>
      </c>
      <c r="AE457" s="224">
        <f t="shared" si="134"/>
        <v>0</v>
      </c>
      <c r="AF457" s="224">
        <f t="shared" si="135"/>
        <v>173.6</v>
      </c>
      <c r="AG457" s="224">
        <f t="shared" si="136"/>
        <v>10.8</v>
      </c>
      <c r="AH457" s="257">
        <f t="shared" si="138"/>
        <v>0</v>
      </c>
      <c r="AI457" s="258">
        <f t="shared" si="139"/>
        <v>0</v>
      </c>
      <c r="AJ457" s="55">
        <f>SUMIFS('tuot-INFO'!W:W,'tuot-INFO'!$A:$A,'tuot-PVÄ'!B457)</f>
        <v>71.052000000000007</v>
      </c>
      <c r="AK457" s="55">
        <f>SUMIFS('tuot-INFO'!X:X,'tuot-INFO'!$A:$A,'tuot-PVÄ'!B457)</f>
        <v>7.6400000000000006</v>
      </c>
    </row>
    <row r="458" spans="1:37" x14ac:dyDescent="0.25">
      <c r="A458" s="169">
        <f t="shared" si="137"/>
        <v>42944</v>
      </c>
      <c r="B458" s="23">
        <f>ROUNDUP((A458-Yleistiedot!$B$4)/7,0)</f>
        <v>82</v>
      </c>
      <c r="C458" s="16"/>
      <c r="D458" s="25"/>
      <c r="E458" s="25"/>
      <c r="F458" s="25"/>
      <c r="G458" s="25"/>
      <c r="H458" s="25"/>
      <c r="I458" s="65">
        <f t="shared" si="132"/>
        <v>0</v>
      </c>
      <c r="J458" s="26"/>
      <c r="K458" s="25"/>
      <c r="L458" s="16"/>
      <c r="M458" s="16"/>
      <c r="N458" s="25"/>
      <c r="O458" s="30"/>
      <c r="P458" s="252">
        <f t="shared" si="127"/>
        <v>9990</v>
      </c>
      <c r="Q458" s="253">
        <f t="shared" si="128"/>
        <v>0</v>
      </c>
      <c r="R458" s="253">
        <f t="shared" si="129"/>
        <v>0</v>
      </c>
      <c r="S458" s="251">
        <f>SUMIFS('tuot-rehukirjanpito'!D:D,'tuot-rehukirjanpito'!A:A,A458)</f>
        <v>0</v>
      </c>
      <c r="T458" s="254">
        <f t="shared" si="140"/>
        <v>1098.9000000000001</v>
      </c>
      <c r="U458" s="254">
        <f t="shared" si="141"/>
        <v>1098.8999999999999</v>
      </c>
      <c r="V458" s="252">
        <f t="shared" si="142"/>
        <v>-501098.4000000041</v>
      </c>
      <c r="W458" s="255">
        <f t="shared" si="143"/>
        <v>-456.00000000000369</v>
      </c>
      <c r="X458" s="256" t="str">
        <f t="shared" si="130"/>
        <v/>
      </c>
      <c r="Y458" s="256" t="str">
        <f t="shared" si="131"/>
        <v/>
      </c>
      <c r="Z458" s="224" t="str">
        <f>IF(IFERROR(INDEX('tuot-rehukirjanpito'!I:I,MATCH(A458,'tuot-rehukirjanpito'!G:G,0)),)=0,"",INDEX('tuot-rehukirjanpito'!I:I,MATCH(A458,'tuot-rehukirjanpito'!G:G,0)))</f>
        <v/>
      </c>
      <c r="AA458" s="224">
        <f>SUMIFS('tuot-INFO'!$K$10:$K$115,'tuot-INFO'!$A$10:$A$115,'tuot-PVÄ'!B458)</f>
        <v>66.099999999999994</v>
      </c>
      <c r="AB458" s="224">
        <f>SUMIFS('rehu-vesi-INFO'!$R:$R,'rehu-vesi-INFO'!$A:$A,'tuot-PVÄ'!B458)</f>
        <v>1736</v>
      </c>
      <c r="AC458" s="224">
        <f>SUMIFS('rehu-vesi-INFO'!$S:$S,'rehu-vesi-INFO'!$A:$A,'tuot-PVÄ'!B458)</f>
        <v>1844</v>
      </c>
      <c r="AD458" s="224">
        <f t="shared" si="133"/>
        <v>108</v>
      </c>
      <c r="AE458" s="224">
        <f t="shared" si="134"/>
        <v>0</v>
      </c>
      <c r="AF458" s="224">
        <f t="shared" si="135"/>
        <v>173.6</v>
      </c>
      <c r="AG458" s="224">
        <f t="shared" si="136"/>
        <v>10.8</v>
      </c>
      <c r="AH458" s="257">
        <f t="shared" si="138"/>
        <v>0</v>
      </c>
      <c r="AI458" s="258">
        <f t="shared" si="139"/>
        <v>0</v>
      </c>
      <c r="AJ458" s="55">
        <f>SUMIFS('tuot-INFO'!W:W,'tuot-INFO'!$A:$A,'tuot-PVÄ'!B458)</f>
        <v>71.052000000000007</v>
      </c>
      <c r="AK458" s="55">
        <f>SUMIFS('tuot-INFO'!X:X,'tuot-INFO'!$A:$A,'tuot-PVÄ'!B458)</f>
        <v>7.6400000000000006</v>
      </c>
    </row>
    <row r="459" spans="1:37" x14ac:dyDescent="0.25">
      <c r="A459" s="169">
        <f t="shared" si="137"/>
        <v>42945</v>
      </c>
      <c r="B459" s="23">
        <f>ROUNDUP((A459-Yleistiedot!$B$4)/7,0)</f>
        <v>83</v>
      </c>
      <c r="C459" s="16"/>
      <c r="D459" s="25"/>
      <c r="E459" s="25"/>
      <c r="F459" s="25"/>
      <c r="G459" s="25"/>
      <c r="H459" s="25"/>
      <c r="I459" s="65">
        <f t="shared" si="132"/>
        <v>0</v>
      </c>
      <c r="J459" s="26"/>
      <c r="K459" s="25"/>
      <c r="L459" s="16"/>
      <c r="M459" s="16"/>
      <c r="N459" s="25"/>
      <c r="O459" s="30"/>
      <c r="P459" s="252">
        <f t="shared" si="127"/>
        <v>9990</v>
      </c>
      <c r="Q459" s="253">
        <f t="shared" si="128"/>
        <v>0</v>
      </c>
      <c r="R459" s="253">
        <f t="shared" si="129"/>
        <v>0</v>
      </c>
      <c r="S459" s="251">
        <f>SUMIFS('tuot-rehukirjanpito'!D:D,'tuot-rehukirjanpito'!A:A,A459)</f>
        <v>0</v>
      </c>
      <c r="T459" s="254">
        <f t="shared" si="140"/>
        <v>1098.9000000000001</v>
      </c>
      <c r="U459" s="254">
        <f t="shared" si="141"/>
        <v>1098.8999999999999</v>
      </c>
      <c r="V459" s="252">
        <f t="shared" si="142"/>
        <v>-502197.30000000412</v>
      </c>
      <c r="W459" s="255">
        <f t="shared" si="143"/>
        <v>-457.00000000000369</v>
      </c>
      <c r="X459" s="256" t="str">
        <f t="shared" si="130"/>
        <v/>
      </c>
      <c r="Y459" s="256" t="str">
        <f t="shared" si="131"/>
        <v/>
      </c>
      <c r="Z459" s="224" t="str">
        <f>IF(IFERROR(INDEX('tuot-rehukirjanpito'!I:I,MATCH(A459,'tuot-rehukirjanpito'!G:G,0)),)=0,"",INDEX('tuot-rehukirjanpito'!I:I,MATCH(A459,'tuot-rehukirjanpito'!G:G,0)))</f>
        <v/>
      </c>
      <c r="AA459" s="224">
        <f>SUMIFS('tuot-INFO'!$K$10:$K$115,'tuot-INFO'!$A$10:$A$115,'tuot-PVÄ'!B459)</f>
        <v>66.099999999999994</v>
      </c>
      <c r="AB459" s="224">
        <f>SUMIFS('rehu-vesi-INFO'!$R:$R,'rehu-vesi-INFO'!$A:$A,'tuot-PVÄ'!B459)</f>
        <v>1737</v>
      </c>
      <c r="AC459" s="224">
        <f>SUMIFS('rehu-vesi-INFO'!$S:$S,'rehu-vesi-INFO'!$A:$A,'tuot-PVÄ'!B459)</f>
        <v>1845</v>
      </c>
      <c r="AD459" s="224">
        <f t="shared" si="133"/>
        <v>108</v>
      </c>
      <c r="AE459" s="224">
        <f t="shared" si="134"/>
        <v>0</v>
      </c>
      <c r="AF459" s="224">
        <f t="shared" si="135"/>
        <v>173.7</v>
      </c>
      <c r="AG459" s="224">
        <f t="shared" si="136"/>
        <v>10.8</v>
      </c>
      <c r="AH459" s="257">
        <f t="shared" si="138"/>
        <v>0</v>
      </c>
      <c r="AI459" s="258">
        <f t="shared" si="139"/>
        <v>0</v>
      </c>
      <c r="AJ459" s="55">
        <f>SUMIFS('tuot-INFO'!W:W,'tuot-INFO'!$A:$A,'tuot-PVÄ'!B459)</f>
        <v>70.494</v>
      </c>
      <c r="AK459" s="55">
        <f>SUMIFS('tuot-INFO'!X:X,'tuot-INFO'!$A:$A,'tuot-PVÄ'!B459)</f>
        <v>7.5799999999999983</v>
      </c>
    </row>
    <row r="460" spans="1:37" x14ac:dyDescent="0.25">
      <c r="A460" s="169">
        <f t="shared" si="137"/>
        <v>42946</v>
      </c>
      <c r="B460" s="23">
        <f>ROUNDUP((A460-Yleistiedot!$B$4)/7,0)</f>
        <v>83</v>
      </c>
      <c r="C460" s="16"/>
      <c r="D460" s="25"/>
      <c r="E460" s="25"/>
      <c r="F460" s="25"/>
      <c r="G460" s="25"/>
      <c r="H460" s="25"/>
      <c r="I460" s="65">
        <f t="shared" si="132"/>
        <v>0</v>
      </c>
      <c r="J460" s="26"/>
      <c r="K460" s="25"/>
      <c r="L460" s="16"/>
      <c r="M460" s="16"/>
      <c r="N460" s="25"/>
      <c r="O460" s="30"/>
      <c r="P460" s="252">
        <f t="shared" si="127"/>
        <v>9990</v>
      </c>
      <c r="Q460" s="253">
        <f t="shared" si="128"/>
        <v>0</v>
      </c>
      <c r="R460" s="253">
        <f t="shared" si="129"/>
        <v>0</v>
      </c>
      <c r="S460" s="251">
        <f>SUMIFS('tuot-rehukirjanpito'!D:D,'tuot-rehukirjanpito'!A:A,A460)</f>
        <v>0</v>
      </c>
      <c r="T460" s="254">
        <f t="shared" si="140"/>
        <v>1098.9000000000001</v>
      </c>
      <c r="U460" s="254">
        <f t="shared" si="141"/>
        <v>1098.8999999999999</v>
      </c>
      <c r="V460" s="252">
        <f t="shared" si="142"/>
        <v>-503296.20000000414</v>
      </c>
      <c r="W460" s="255">
        <f t="shared" si="143"/>
        <v>-458.00000000000375</v>
      </c>
      <c r="X460" s="256" t="str">
        <f t="shared" si="130"/>
        <v/>
      </c>
      <c r="Y460" s="256" t="str">
        <f t="shared" si="131"/>
        <v/>
      </c>
      <c r="Z460" s="224" t="str">
        <f>IF(IFERROR(INDEX('tuot-rehukirjanpito'!I:I,MATCH(A460,'tuot-rehukirjanpito'!G:G,0)),)=0,"",INDEX('tuot-rehukirjanpito'!I:I,MATCH(A460,'tuot-rehukirjanpito'!G:G,0)))</f>
        <v/>
      </c>
      <c r="AA460" s="224">
        <f>SUMIFS('tuot-INFO'!$K$10:$K$115,'tuot-INFO'!$A$10:$A$115,'tuot-PVÄ'!B460)</f>
        <v>66.099999999999994</v>
      </c>
      <c r="AB460" s="224">
        <f>SUMIFS('rehu-vesi-INFO'!$R:$R,'rehu-vesi-INFO'!$A:$A,'tuot-PVÄ'!B460)</f>
        <v>1737</v>
      </c>
      <c r="AC460" s="224">
        <f>SUMIFS('rehu-vesi-INFO'!$S:$S,'rehu-vesi-INFO'!$A:$A,'tuot-PVÄ'!B460)</f>
        <v>1845</v>
      </c>
      <c r="AD460" s="224">
        <f t="shared" si="133"/>
        <v>108</v>
      </c>
      <c r="AE460" s="224">
        <f t="shared" si="134"/>
        <v>0</v>
      </c>
      <c r="AF460" s="224">
        <f t="shared" si="135"/>
        <v>173.7</v>
      </c>
      <c r="AG460" s="224">
        <f t="shared" si="136"/>
        <v>10.8</v>
      </c>
      <c r="AH460" s="257">
        <f t="shared" si="138"/>
        <v>0</v>
      </c>
      <c r="AI460" s="258">
        <f t="shared" si="139"/>
        <v>0</v>
      </c>
      <c r="AJ460" s="55">
        <f>SUMIFS('tuot-INFO'!W:W,'tuot-INFO'!$A:$A,'tuot-PVÄ'!B460)</f>
        <v>70.494</v>
      </c>
      <c r="AK460" s="55">
        <f>SUMIFS('tuot-INFO'!X:X,'tuot-INFO'!$A:$A,'tuot-PVÄ'!B460)</f>
        <v>7.5799999999999983</v>
      </c>
    </row>
    <row r="461" spans="1:37" x14ac:dyDescent="0.25">
      <c r="A461" s="169">
        <f t="shared" si="137"/>
        <v>42947</v>
      </c>
      <c r="B461" s="23">
        <f>ROUNDUP((A461-Yleistiedot!$B$4)/7,0)</f>
        <v>83</v>
      </c>
      <c r="C461" s="16"/>
      <c r="D461" s="25"/>
      <c r="E461" s="25"/>
      <c r="F461" s="25"/>
      <c r="G461" s="25"/>
      <c r="H461" s="25"/>
      <c r="I461" s="65">
        <f t="shared" si="132"/>
        <v>0</v>
      </c>
      <c r="J461" s="26"/>
      <c r="K461" s="25"/>
      <c r="L461" s="16"/>
      <c r="M461" s="16"/>
      <c r="N461" s="25"/>
      <c r="O461" s="30"/>
      <c r="P461" s="252">
        <f t="shared" si="127"/>
        <v>9990</v>
      </c>
      <c r="Q461" s="253">
        <f t="shared" si="128"/>
        <v>0</v>
      </c>
      <c r="R461" s="253">
        <f t="shared" si="129"/>
        <v>0</v>
      </c>
      <c r="S461" s="251">
        <f>SUMIFS('tuot-rehukirjanpito'!D:D,'tuot-rehukirjanpito'!A:A,A461)</f>
        <v>0</v>
      </c>
      <c r="T461" s="254">
        <f t="shared" si="140"/>
        <v>1098.9000000000001</v>
      </c>
      <c r="U461" s="254">
        <f t="shared" si="141"/>
        <v>1098.8999999999999</v>
      </c>
      <c r="V461" s="252">
        <f t="shared" si="142"/>
        <v>-504395.10000000417</v>
      </c>
      <c r="W461" s="255">
        <f t="shared" si="143"/>
        <v>-459.00000000000375</v>
      </c>
      <c r="X461" s="256" t="str">
        <f t="shared" si="130"/>
        <v/>
      </c>
      <c r="Y461" s="256" t="str">
        <f t="shared" si="131"/>
        <v/>
      </c>
      <c r="Z461" s="224" t="str">
        <f>IF(IFERROR(INDEX('tuot-rehukirjanpito'!I:I,MATCH(A461,'tuot-rehukirjanpito'!G:G,0)),)=0,"",INDEX('tuot-rehukirjanpito'!I:I,MATCH(A461,'tuot-rehukirjanpito'!G:G,0)))</f>
        <v/>
      </c>
      <c r="AA461" s="224">
        <f>SUMIFS('tuot-INFO'!$K$10:$K$115,'tuot-INFO'!$A$10:$A$115,'tuot-PVÄ'!B461)</f>
        <v>66.099999999999994</v>
      </c>
      <c r="AB461" s="224">
        <f>SUMIFS('rehu-vesi-INFO'!$R:$R,'rehu-vesi-INFO'!$A:$A,'tuot-PVÄ'!B461)</f>
        <v>1737</v>
      </c>
      <c r="AC461" s="224">
        <f>SUMIFS('rehu-vesi-INFO'!$S:$S,'rehu-vesi-INFO'!$A:$A,'tuot-PVÄ'!B461)</f>
        <v>1845</v>
      </c>
      <c r="AD461" s="224">
        <f t="shared" si="133"/>
        <v>108</v>
      </c>
      <c r="AE461" s="224">
        <f t="shared" si="134"/>
        <v>0</v>
      </c>
      <c r="AF461" s="224">
        <f t="shared" si="135"/>
        <v>173.7</v>
      </c>
      <c r="AG461" s="224">
        <f t="shared" si="136"/>
        <v>10.8</v>
      </c>
      <c r="AH461" s="257">
        <f t="shared" si="138"/>
        <v>0</v>
      </c>
      <c r="AI461" s="258">
        <f t="shared" si="139"/>
        <v>0</v>
      </c>
      <c r="AJ461" s="55">
        <f>SUMIFS('tuot-INFO'!W:W,'tuot-INFO'!$A:$A,'tuot-PVÄ'!B461)</f>
        <v>70.494</v>
      </c>
      <c r="AK461" s="55">
        <f>SUMIFS('tuot-INFO'!X:X,'tuot-INFO'!$A:$A,'tuot-PVÄ'!B461)</f>
        <v>7.5799999999999983</v>
      </c>
    </row>
    <row r="462" spans="1:37" x14ac:dyDescent="0.25">
      <c r="A462" s="169">
        <f t="shared" si="137"/>
        <v>42948</v>
      </c>
      <c r="B462" s="23">
        <f>ROUNDUP((A462-Yleistiedot!$B$4)/7,0)</f>
        <v>83</v>
      </c>
      <c r="C462" s="16"/>
      <c r="D462" s="25"/>
      <c r="E462" s="25"/>
      <c r="F462" s="25"/>
      <c r="G462" s="25"/>
      <c r="H462" s="25"/>
      <c r="I462" s="65">
        <f t="shared" si="132"/>
        <v>0</v>
      </c>
      <c r="J462" s="26"/>
      <c r="K462" s="25"/>
      <c r="L462" s="16"/>
      <c r="M462" s="16"/>
      <c r="N462" s="25"/>
      <c r="O462" s="30"/>
      <c r="P462" s="252">
        <f t="shared" si="127"/>
        <v>9990</v>
      </c>
      <c r="Q462" s="253">
        <f t="shared" si="128"/>
        <v>0</v>
      </c>
      <c r="R462" s="253">
        <f t="shared" si="129"/>
        <v>0</v>
      </c>
      <c r="S462" s="251">
        <f>SUMIFS('tuot-rehukirjanpito'!D:D,'tuot-rehukirjanpito'!A:A,A462)</f>
        <v>0</v>
      </c>
      <c r="T462" s="254">
        <f t="shared" si="140"/>
        <v>1098.9000000000001</v>
      </c>
      <c r="U462" s="254">
        <f t="shared" si="141"/>
        <v>1098.8999999999999</v>
      </c>
      <c r="V462" s="252">
        <f t="shared" si="142"/>
        <v>-505494.00000000419</v>
      </c>
      <c r="W462" s="255">
        <f t="shared" si="143"/>
        <v>-460.00000000000375</v>
      </c>
      <c r="X462" s="256" t="str">
        <f t="shared" si="130"/>
        <v/>
      </c>
      <c r="Y462" s="256" t="str">
        <f t="shared" si="131"/>
        <v/>
      </c>
      <c r="Z462" s="224" t="str">
        <f>IF(IFERROR(INDEX('tuot-rehukirjanpito'!I:I,MATCH(A462,'tuot-rehukirjanpito'!G:G,0)),)=0,"",INDEX('tuot-rehukirjanpito'!I:I,MATCH(A462,'tuot-rehukirjanpito'!G:G,0)))</f>
        <v/>
      </c>
      <c r="AA462" s="224">
        <f>SUMIFS('tuot-INFO'!$K$10:$K$115,'tuot-INFO'!$A$10:$A$115,'tuot-PVÄ'!B462)</f>
        <v>66.099999999999994</v>
      </c>
      <c r="AB462" s="224">
        <f>SUMIFS('rehu-vesi-INFO'!$R:$R,'rehu-vesi-INFO'!$A:$A,'tuot-PVÄ'!B462)</f>
        <v>1737</v>
      </c>
      <c r="AC462" s="224">
        <f>SUMIFS('rehu-vesi-INFO'!$S:$S,'rehu-vesi-INFO'!$A:$A,'tuot-PVÄ'!B462)</f>
        <v>1845</v>
      </c>
      <c r="AD462" s="224">
        <f t="shared" si="133"/>
        <v>108</v>
      </c>
      <c r="AE462" s="224">
        <f t="shared" si="134"/>
        <v>0</v>
      </c>
      <c r="AF462" s="224">
        <f t="shared" si="135"/>
        <v>173.7</v>
      </c>
      <c r="AG462" s="224">
        <f t="shared" si="136"/>
        <v>10.8</v>
      </c>
      <c r="AH462" s="257">
        <f t="shared" si="138"/>
        <v>0</v>
      </c>
      <c r="AI462" s="258">
        <f t="shared" si="139"/>
        <v>0</v>
      </c>
      <c r="AJ462" s="55">
        <f>SUMIFS('tuot-INFO'!W:W,'tuot-INFO'!$A:$A,'tuot-PVÄ'!B462)</f>
        <v>70.494</v>
      </c>
      <c r="AK462" s="55">
        <f>SUMIFS('tuot-INFO'!X:X,'tuot-INFO'!$A:$A,'tuot-PVÄ'!B462)</f>
        <v>7.5799999999999983</v>
      </c>
    </row>
    <row r="463" spans="1:37" x14ac:dyDescent="0.25">
      <c r="A463" s="169">
        <f t="shared" si="137"/>
        <v>42949</v>
      </c>
      <c r="B463" s="23">
        <f>ROUNDUP((A463-Yleistiedot!$B$4)/7,0)</f>
        <v>83</v>
      </c>
      <c r="C463" s="16"/>
      <c r="D463" s="25"/>
      <c r="E463" s="25"/>
      <c r="F463" s="25"/>
      <c r="G463" s="25"/>
      <c r="H463" s="25"/>
      <c r="I463" s="65">
        <f t="shared" si="132"/>
        <v>0</v>
      </c>
      <c r="J463" s="26"/>
      <c r="K463" s="25"/>
      <c r="L463" s="16"/>
      <c r="M463" s="16"/>
      <c r="N463" s="25"/>
      <c r="O463" s="30"/>
      <c r="P463" s="252">
        <f t="shared" si="127"/>
        <v>9990</v>
      </c>
      <c r="Q463" s="253">
        <f t="shared" si="128"/>
        <v>0</v>
      </c>
      <c r="R463" s="253">
        <f t="shared" si="129"/>
        <v>0</v>
      </c>
      <c r="S463" s="251">
        <f>SUMIFS('tuot-rehukirjanpito'!D:D,'tuot-rehukirjanpito'!A:A,A463)</f>
        <v>0</v>
      </c>
      <c r="T463" s="254">
        <f t="shared" si="140"/>
        <v>1098.9000000000001</v>
      </c>
      <c r="U463" s="254">
        <f t="shared" si="141"/>
        <v>1098.8999999999999</v>
      </c>
      <c r="V463" s="252">
        <f t="shared" si="142"/>
        <v>-506592.90000000421</v>
      </c>
      <c r="W463" s="255">
        <f t="shared" si="143"/>
        <v>-461.00000000000381</v>
      </c>
      <c r="X463" s="256" t="str">
        <f t="shared" si="130"/>
        <v/>
      </c>
      <c r="Y463" s="256" t="str">
        <f t="shared" si="131"/>
        <v/>
      </c>
      <c r="Z463" s="224" t="str">
        <f>IF(IFERROR(INDEX('tuot-rehukirjanpito'!I:I,MATCH(A463,'tuot-rehukirjanpito'!G:G,0)),)=0,"",INDEX('tuot-rehukirjanpito'!I:I,MATCH(A463,'tuot-rehukirjanpito'!G:G,0)))</f>
        <v/>
      </c>
      <c r="AA463" s="224">
        <f>SUMIFS('tuot-INFO'!$K$10:$K$115,'tuot-INFO'!$A$10:$A$115,'tuot-PVÄ'!B463)</f>
        <v>66.099999999999994</v>
      </c>
      <c r="AB463" s="224">
        <f>SUMIFS('rehu-vesi-INFO'!$R:$R,'rehu-vesi-INFO'!$A:$A,'tuot-PVÄ'!B463)</f>
        <v>1737</v>
      </c>
      <c r="AC463" s="224">
        <f>SUMIFS('rehu-vesi-INFO'!$S:$S,'rehu-vesi-INFO'!$A:$A,'tuot-PVÄ'!B463)</f>
        <v>1845</v>
      </c>
      <c r="AD463" s="224">
        <f t="shared" si="133"/>
        <v>108</v>
      </c>
      <c r="AE463" s="224">
        <f t="shared" si="134"/>
        <v>0</v>
      </c>
      <c r="AF463" s="224">
        <f t="shared" si="135"/>
        <v>173.7</v>
      </c>
      <c r="AG463" s="224">
        <f t="shared" si="136"/>
        <v>10.8</v>
      </c>
      <c r="AH463" s="257">
        <f t="shared" si="138"/>
        <v>0</v>
      </c>
      <c r="AI463" s="258">
        <f t="shared" si="139"/>
        <v>0</v>
      </c>
      <c r="AJ463" s="55">
        <f>SUMIFS('tuot-INFO'!W:W,'tuot-INFO'!$A:$A,'tuot-PVÄ'!B463)</f>
        <v>70.494</v>
      </c>
      <c r="AK463" s="55">
        <f>SUMIFS('tuot-INFO'!X:X,'tuot-INFO'!$A:$A,'tuot-PVÄ'!B463)</f>
        <v>7.5799999999999983</v>
      </c>
    </row>
    <row r="464" spans="1:37" x14ac:dyDescent="0.25">
      <c r="A464" s="169">
        <f t="shared" si="137"/>
        <v>42950</v>
      </c>
      <c r="B464" s="23">
        <f>ROUNDUP((A464-Yleistiedot!$B$4)/7,0)</f>
        <v>83</v>
      </c>
      <c r="C464" s="16"/>
      <c r="D464" s="25"/>
      <c r="E464" s="25"/>
      <c r="F464" s="25"/>
      <c r="G464" s="25"/>
      <c r="H464" s="25"/>
      <c r="I464" s="65">
        <f t="shared" si="132"/>
        <v>0</v>
      </c>
      <c r="J464" s="26"/>
      <c r="K464" s="25"/>
      <c r="L464" s="16"/>
      <c r="M464" s="16"/>
      <c r="N464" s="25"/>
      <c r="O464" s="30"/>
      <c r="P464" s="252">
        <f t="shared" si="127"/>
        <v>9990</v>
      </c>
      <c r="Q464" s="253">
        <f t="shared" si="128"/>
        <v>0</v>
      </c>
      <c r="R464" s="253">
        <f t="shared" si="129"/>
        <v>0</v>
      </c>
      <c r="S464" s="251">
        <f>SUMIFS('tuot-rehukirjanpito'!D:D,'tuot-rehukirjanpito'!A:A,A464)</f>
        <v>0</v>
      </c>
      <c r="T464" s="254">
        <f t="shared" si="140"/>
        <v>1098.9000000000001</v>
      </c>
      <c r="U464" s="254">
        <f t="shared" si="141"/>
        <v>1098.8999999999999</v>
      </c>
      <c r="V464" s="252">
        <f t="shared" si="142"/>
        <v>-507691.80000000424</v>
      </c>
      <c r="W464" s="255">
        <f t="shared" si="143"/>
        <v>-462.00000000000381</v>
      </c>
      <c r="X464" s="256" t="str">
        <f t="shared" si="130"/>
        <v/>
      </c>
      <c r="Y464" s="256" t="str">
        <f t="shared" si="131"/>
        <v/>
      </c>
      <c r="Z464" s="224" t="str">
        <f>IF(IFERROR(INDEX('tuot-rehukirjanpito'!I:I,MATCH(A464,'tuot-rehukirjanpito'!G:G,0)),)=0,"",INDEX('tuot-rehukirjanpito'!I:I,MATCH(A464,'tuot-rehukirjanpito'!G:G,0)))</f>
        <v/>
      </c>
      <c r="AA464" s="224">
        <f>SUMIFS('tuot-INFO'!$K$10:$K$115,'tuot-INFO'!$A$10:$A$115,'tuot-PVÄ'!B464)</f>
        <v>66.099999999999994</v>
      </c>
      <c r="AB464" s="224">
        <f>SUMIFS('rehu-vesi-INFO'!$R:$R,'rehu-vesi-INFO'!$A:$A,'tuot-PVÄ'!B464)</f>
        <v>1737</v>
      </c>
      <c r="AC464" s="224">
        <f>SUMIFS('rehu-vesi-INFO'!$S:$S,'rehu-vesi-INFO'!$A:$A,'tuot-PVÄ'!B464)</f>
        <v>1845</v>
      </c>
      <c r="AD464" s="224">
        <f t="shared" si="133"/>
        <v>108</v>
      </c>
      <c r="AE464" s="224">
        <f t="shared" si="134"/>
        <v>0</v>
      </c>
      <c r="AF464" s="224">
        <f t="shared" si="135"/>
        <v>173.7</v>
      </c>
      <c r="AG464" s="224">
        <f t="shared" si="136"/>
        <v>10.8</v>
      </c>
      <c r="AH464" s="257">
        <f t="shared" si="138"/>
        <v>0</v>
      </c>
      <c r="AI464" s="258">
        <f t="shared" si="139"/>
        <v>0</v>
      </c>
      <c r="AJ464" s="55">
        <f>SUMIFS('tuot-INFO'!W:W,'tuot-INFO'!$A:$A,'tuot-PVÄ'!B464)</f>
        <v>70.494</v>
      </c>
      <c r="AK464" s="55">
        <f>SUMIFS('tuot-INFO'!X:X,'tuot-INFO'!$A:$A,'tuot-PVÄ'!B464)</f>
        <v>7.5799999999999983</v>
      </c>
    </row>
    <row r="465" spans="1:37" x14ac:dyDescent="0.25">
      <c r="A465" s="169">
        <f t="shared" si="137"/>
        <v>42951</v>
      </c>
      <c r="B465" s="23">
        <f>ROUNDUP((A465-Yleistiedot!$B$4)/7,0)</f>
        <v>83</v>
      </c>
      <c r="C465" s="16"/>
      <c r="D465" s="25"/>
      <c r="E465" s="25"/>
      <c r="F465" s="25"/>
      <c r="G465" s="25"/>
      <c r="H465" s="25"/>
      <c r="I465" s="65">
        <f t="shared" si="132"/>
        <v>0</v>
      </c>
      <c r="J465" s="26"/>
      <c r="K465" s="25"/>
      <c r="L465" s="16"/>
      <c r="M465" s="16"/>
      <c r="N465" s="25"/>
      <c r="O465" s="30"/>
      <c r="P465" s="252">
        <f t="shared" si="127"/>
        <v>9990</v>
      </c>
      <c r="Q465" s="253">
        <f t="shared" si="128"/>
        <v>0</v>
      </c>
      <c r="R465" s="253">
        <f t="shared" si="129"/>
        <v>0</v>
      </c>
      <c r="S465" s="251">
        <f>SUMIFS('tuot-rehukirjanpito'!D:D,'tuot-rehukirjanpito'!A:A,A465)</f>
        <v>0</v>
      </c>
      <c r="T465" s="254">
        <f t="shared" si="140"/>
        <v>1098.9000000000001</v>
      </c>
      <c r="U465" s="254">
        <f t="shared" si="141"/>
        <v>1098.8999999999999</v>
      </c>
      <c r="V465" s="252">
        <f t="shared" si="142"/>
        <v>-508790.70000000426</v>
      </c>
      <c r="W465" s="255">
        <f t="shared" si="143"/>
        <v>-463.00000000000387</v>
      </c>
      <c r="X465" s="256" t="str">
        <f t="shared" si="130"/>
        <v/>
      </c>
      <c r="Y465" s="256" t="str">
        <f t="shared" si="131"/>
        <v/>
      </c>
      <c r="Z465" s="224" t="str">
        <f>IF(IFERROR(INDEX('tuot-rehukirjanpito'!I:I,MATCH(A465,'tuot-rehukirjanpito'!G:G,0)),)=0,"",INDEX('tuot-rehukirjanpito'!I:I,MATCH(A465,'tuot-rehukirjanpito'!G:G,0)))</f>
        <v/>
      </c>
      <c r="AA465" s="224">
        <f>SUMIFS('tuot-INFO'!$K$10:$K$115,'tuot-INFO'!$A$10:$A$115,'tuot-PVÄ'!B465)</f>
        <v>66.099999999999994</v>
      </c>
      <c r="AB465" s="224">
        <f>SUMIFS('rehu-vesi-INFO'!$R:$R,'rehu-vesi-INFO'!$A:$A,'tuot-PVÄ'!B465)</f>
        <v>1737</v>
      </c>
      <c r="AC465" s="224">
        <f>SUMIFS('rehu-vesi-INFO'!$S:$S,'rehu-vesi-INFO'!$A:$A,'tuot-PVÄ'!B465)</f>
        <v>1845</v>
      </c>
      <c r="AD465" s="224">
        <f t="shared" si="133"/>
        <v>108</v>
      </c>
      <c r="AE465" s="224">
        <f t="shared" si="134"/>
        <v>0</v>
      </c>
      <c r="AF465" s="224">
        <f t="shared" si="135"/>
        <v>173.7</v>
      </c>
      <c r="AG465" s="224">
        <f t="shared" si="136"/>
        <v>10.8</v>
      </c>
      <c r="AH465" s="257">
        <f t="shared" si="138"/>
        <v>0</v>
      </c>
      <c r="AI465" s="258">
        <f t="shared" si="139"/>
        <v>0</v>
      </c>
      <c r="AJ465" s="55">
        <f>SUMIFS('tuot-INFO'!W:W,'tuot-INFO'!$A:$A,'tuot-PVÄ'!B465)</f>
        <v>70.494</v>
      </c>
      <c r="AK465" s="55">
        <f>SUMIFS('tuot-INFO'!X:X,'tuot-INFO'!$A:$A,'tuot-PVÄ'!B465)</f>
        <v>7.5799999999999983</v>
      </c>
    </row>
    <row r="466" spans="1:37" x14ac:dyDescent="0.25">
      <c r="A466" s="169">
        <f t="shared" si="137"/>
        <v>42952</v>
      </c>
      <c r="B466" s="23">
        <f>ROUNDUP((A466-Yleistiedot!$B$4)/7,0)</f>
        <v>84</v>
      </c>
      <c r="C466" s="16"/>
      <c r="D466" s="25"/>
      <c r="E466" s="25"/>
      <c r="F466" s="25"/>
      <c r="G466" s="25"/>
      <c r="H466" s="25"/>
      <c r="I466" s="65">
        <f t="shared" si="132"/>
        <v>0</v>
      </c>
      <c r="J466" s="26"/>
      <c r="K466" s="25"/>
      <c r="L466" s="16"/>
      <c r="M466" s="16"/>
      <c r="N466" s="25"/>
      <c r="O466" s="30"/>
      <c r="P466" s="252">
        <f t="shared" si="127"/>
        <v>9990</v>
      </c>
      <c r="Q466" s="253">
        <f t="shared" si="128"/>
        <v>0</v>
      </c>
      <c r="R466" s="253">
        <f t="shared" si="129"/>
        <v>0</v>
      </c>
      <c r="S466" s="251">
        <f>SUMIFS('tuot-rehukirjanpito'!D:D,'tuot-rehukirjanpito'!A:A,A466)</f>
        <v>0</v>
      </c>
      <c r="T466" s="254">
        <f t="shared" si="140"/>
        <v>1098.9000000000001</v>
      </c>
      <c r="U466" s="254">
        <f t="shared" si="141"/>
        <v>1098.8999999999999</v>
      </c>
      <c r="V466" s="252">
        <f t="shared" si="142"/>
        <v>-509889.60000000428</v>
      </c>
      <c r="W466" s="255">
        <f t="shared" si="143"/>
        <v>-464.00000000000387</v>
      </c>
      <c r="X466" s="256" t="str">
        <f t="shared" si="130"/>
        <v/>
      </c>
      <c r="Y466" s="256" t="str">
        <f t="shared" si="131"/>
        <v/>
      </c>
      <c r="Z466" s="224" t="str">
        <f>IF(IFERROR(INDEX('tuot-rehukirjanpito'!I:I,MATCH(A466,'tuot-rehukirjanpito'!G:G,0)),)=0,"",INDEX('tuot-rehukirjanpito'!I:I,MATCH(A466,'tuot-rehukirjanpito'!G:G,0)))</f>
        <v/>
      </c>
      <c r="AA466" s="224">
        <f>SUMIFS('tuot-INFO'!$K$10:$K$115,'tuot-INFO'!$A$10:$A$115,'tuot-PVÄ'!B466)</f>
        <v>66.099999999999994</v>
      </c>
      <c r="AB466" s="224">
        <f>SUMIFS('rehu-vesi-INFO'!$R:$R,'rehu-vesi-INFO'!$A:$A,'tuot-PVÄ'!B466)</f>
        <v>1738</v>
      </c>
      <c r="AC466" s="224">
        <f>SUMIFS('rehu-vesi-INFO'!$S:$S,'rehu-vesi-INFO'!$A:$A,'tuot-PVÄ'!B466)</f>
        <v>1846</v>
      </c>
      <c r="AD466" s="224">
        <f t="shared" si="133"/>
        <v>108</v>
      </c>
      <c r="AE466" s="224">
        <f t="shared" si="134"/>
        <v>0</v>
      </c>
      <c r="AF466" s="224">
        <f t="shared" si="135"/>
        <v>173.8</v>
      </c>
      <c r="AG466" s="224">
        <f t="shared" si="136"/>
        <v>10.8</v>
      </c>
      <c r="AH466" s="257">
        <f t="shared" si="138"/>
        <v>0</v>
      </c>
      <c r="AI466" s="258">
        <f t="shared" si="139"/>
        <v>0</v>
      </c>
      <c r="AJ466" s="55">
        <f>SUMIFS('tuot-INFO'!W:W,'tuot-INFO'!$A:$A,'tuot-PVÄ'!B466)</f>
        <v>69.842999999999989</v>
      </c>
      <c r="AK466" s="55">
        <f>SUMIFS('tuot-INFO'!X:X,'tuot-INFO'!$A:$A,'tuot-PVÄ'!B466)</f>
        <v>7.5100000000000051</v>
      </c>
    </row>
    <row r="467" spans="1:37" x14ac:dyDescent="0.25">
      <c r="A467" s="169">
        <f t="shared" si="137"/>
        <v>42953</v>
      </c>
      <c r="B467" s="23">
        <f>ROUNDUP((A467-Yleistiedot!$B$4)/7,0)</f>
        <v>84</v>
      </c>
      <c r="C467" s="16"/>
      <c r="D467" s="25"/>
      <c r="E467" s="25"/>
      <c r="F467" s="25"/>
      <c r="G467" s="25"/>
      <c r="H467" s="25"/>
      <c r="I467" s="65">
        <f t="shared" si="132"/>
        <v>0</v>
      </c>
      <c r="J467" s="26"/>
      <c r="K467" s="25"/>
      <c r="L467" s="16"/>
      <c r="M467" s="16"/>
      <c r="N467" s="25"/>
      <c r="O467" s="30"/>
      <c r="P467" s="252">
        <f t="shared" ref="P467:P530" si="144">P466-C467</f>
        <v>9990</v>
      </c>
      <c r="Q467" s="253">
        <f t="shared" ref="Q467:Q530" si="145">D467/P467*100</f>
        <v>0</v>
      </c>
      <c r="R467" s="253">
        <f t="shared" ref="R467:R530" si="146">I467/P467*100</f>
        <v>0</v>
      </c>
      <c r="S467" s="251">
        <f>SUMIFS('tuot-rehukirjanpito'!D:D,'tuot-rehukirjanpito'!A:A,A467)</f>
        <v>0</v>
      </c>
      <c r="T467" s="254">
        <f t="shared" si="140"/>
        <v>1098.9000000000001</v>
      </c>
      <c r="U467" s="254">
        <f t="shared" si="141"/>
        <v>1098.8999999999999</v>
      </c>
      <c r="V467" s="252">
        <f t="shared" si="142"/>
        <v>-510988.50000000431</v>
      </c>
      <c r="W467" s="255">
        <f t="shared" si="143"/>
        <v>-465.00000000000387</v>
      </c>
      <c r="X467" s="256" t="str">
        <f t="shared" si="130"/>
        <v/>
      </c>
      <c r="Y467" s="256" t="str">
        <f t="shared" si="131"/>
        <v/>
      </c>
      <c r="Z467" s="224" t="str">
        <f>IF(IFERROR(INDEX('tuot-rehukirjanpito'!I:I,MATCH(A467,'tuot-rehukirjanpito'!G:G,0)),)=0,"",INDEX('tuot-rehukirjanpito'!I:I,MATCH(A467,'tuot-rehukirjanpito'!G:G,0)))</f>
        <v/>
      </c>
      <c r="AA467" s="224">
        <f>SUMIFS('tuot-INFO'!$K$10:$K$115,'tuot-INFO'!$A$10:$A$115,'tuot-PVÄ'!B467)</f>
        <v>66.099999999999994</v>
      </c>
      <c r="AB467" s="224">
        <f>SUMIFS('rehu-vesi-INFO'!$R:$R,'rehu-vesi-INFO'!$A:$A,'tuot-PVÄ'!B467)</f>
        <v>1738</v>
      </c>
      <c r="AC467" s="224">
        <f>SUMIFS('rehu-vesi-INFO'!$S:$S,'rehu-vesi-INFO'!$A:$A,'tuot-PVÄ'!B467)</f>
        <v>1846</v>
      </c>
      <c r="AD467" s="224">
        <f t="shared" si="133"/>
        <v>108</v>
      </c>
      <c r="AE467" s="224">
        <f t="shared" si="134"/>
        <v>0</v>
      </c>
      <c r="AF467" s="224">
        <f t="shared" si="135"/>
        <v>173.8</v>
      </c>
      <c r="AG467" s="224">
        <f t="shared" si="136"/>
        <v>10.8</v>
      </c>
      <c r="AH467" s="257">
        <f t="shared" si="138"/>
        <v>0</v>
      </c>
      <c r="AI467" s="258">
        <f t="shared" si="139"/>
        <v>0</v>
      </c>
      <c r="AJ467" s="55">
        <f>SUMIFS('tuot-INFO'!W:W,'tuot-INFO'!$A:$A,'tuot-PVÄ'!B467)</f>
        <v>69.842999999999989</v>
      </c>
      <c r="AK467" s="55">
        <f>SUMIFS('tuot-INFO'!X:X,'tuot-INFO'!$A:$A,'tuot-PVÄ'!B467)</f>
        <v>7.5100000000000051</v>
      </c>
    </row>
    <row r="468" spans="1:37" x14ac:dyDescent="0.25">
      <c r="A468" s="169">
        <f t="shared" si="137"/>
        <v>42954</v>
      </c>
      <c r="B468" s="23">
        <f>ROUNDUP((A468-Yleistiedot!$B$4)/7,0)</f>
        <v>84</v>
      </c>
      <c r="C468" s="16"/>
      <c r="D468" s="25"/>
      <c r="E468" s="25"/>
      <c r="F468" s="25"/>
      <c r="G468" s="25"/>
      <c r="H468" s="25"/>
      <c r="I468" s="65">
        <f t="shared" si="132"/>
        <v>0</v>
      </c>
      <c r="J468" s="26"/>
      <c r="K468" s="25"/>
      <c r="L468" s="16"/>
      <c r="M468" s="16"/>
      <c r="N468" s="25"/>
      <c r="O468" s="30"/>
      <c r="P468" s="252">
        <f t="shared" si="144"/>
        <v>9990</v>
      </c>
      <c r="Q468" s="253">
        <f t="shared" si="145"/>
        <v>0</v>
      </c>
      <c r="R468" s="253">
        <f t="shared" si="146"/>
        <v>0</v>
      </c>
      <c r="S468" s="251">
        <f>SUMIFS('tuot-rehukirjanpito'!D:D,'tuot-rehukirjanpito'!A:A,A468)</f>
        <v>0</v>
      </c>
      <c r="T468" s="254">
        <f t="shared" si="140"/>
        <v>1098.9000000000001</v>
      </c>
      <c r="U468" s="254">
        <f t="shared" si="141"/>
        <v>1098.8999999999999</v>
      </c>
      <c r="V468" s="252">
        <f t="shared" si="142"/>
        <v>-512087.40000000433</v>
      </c>
      <c r="W468" s="255">
        <f t="shared" si="143"/>
        <v>-466.00000000000392</v>
      </c>
      <c r="X468" s="256" t="str">
        <f t="shared" si="130"/>
        <v/>
      </c>
      <c r="Y468" s="256" t="str">
        <f t="shared" si="131"/>
        <v/>
      </c>
      <c r="Z468" s="224" t="str">
        <f>IF(IFERROR(INDEX('tuot-rehukirjanpito'!I:I,MATCH(A468,'tuot-rehukirjanpito'!G:G,0)),)=0,"",INDEX('tuot-rehukirjanpito'!I:I,MATCH(A468,'tuot-rehukirjanpito'!G:G,0)))</f>
        <v/>
      </c>
      <c r="AA468" s="224">
        <f>SUMIFS('tuot-INFO'!$K$10:$K$115,'tuot-INFO'!$A$10:$A$115,'tuot-PVÄ'!B468)</f>
        <v>66.099999999999994</v>
      </c>
      <c r="AB468" s="224">
        <f>SUMIFS('rehu-vesi-INFO'!$R:$R,'rehu-vesi-INFO'!$A:$A,'tuot-PVÄ'!B468)</f>
        <v>1738</v>
      </c>
      <c r="AC468" s="224">
        <f>SUMIFS('rehu-vesi-INFO'!$S:$S,'rehu-vesi-INFO'!$A:$A,'tuot-PVÄ'!B468)</f>
        <v>1846</v>
      </c>
      <c r="AD468" s="224">
        <f t="shared" si="133"/>
        <v>108</v>
      </c>
      <c r="AE468" s="224">
        <f t="shared" si="134"/>
        <v>0</v>
      </c>
      <c r="AF468" s="224">
        <f t="shared" si="135"/>
        <v>173.8</v>
      </c>
      <c r="AG468" s="224">
        <f t="shared" si="136"/>
        <v>10.8</v>
      </c>
      <c r="AH468" s="257">
        <f t="shared" si="138"/>
        <v>0</v>
      </c>
      <c r="AI468" s="258">
        <f t="shared" si="139"/>
        <v>0</v>
      </c>
      <c r="AJ468" s="55">
        <f>SUMIFS('tuot-INFO'!W:W,'tuot-INFO'!$A:$A,'tuot-PVÄ'!B468)</f>
        <v>69.842999999999989</v>
      </c>
      <c r="AK468" s="55">
        <f>SUMIFS('tuot-INFO'!X:X,'tuot-INFO'!$A:$A,'tuot-PVÄ'!B468)</f>
        <v>7.5100000000000051</v>
      </c>
    </row>
    <row r="469" spans="1:37" x14ac:dyDescent="0.25">
      <c r="A469" s="169">
        <f t="shared" si="137"/>
        <v>42955</v>
      </c>
      <c r="B469" s="23">
        <f>ROUNDUP((A469-Yleistiedot!$B$4)/7,0)</f>
        <v>84</v>
      </c>
      <c r="C469" s="16"/>
      <c r="D469" s="25"/>
      <c r="E469" s="25"/>
      <c r="F469" s="25"/>
      <c r="G469" s="25"/>
      <c r="H469" s="25"/>
      <c r="I469" s="65">
        <f t="shared" si="132"/>
        <v>0</v>
      </c>
      <c r="J469" s="26"/>
      <c r="K469" s="25"/>
      <c r="L469" s="16"/>
      <c r="M469" s="16"/>
      <c r="N469" s="25"/>
      <c r="O469" s="30"/>
      <c r="P469" s="252">
        <f t="shared" si="144"/>
        <v>9990</v>
      </c>
      <c r="Q469" s="253">
        <f t="shared" si="145"/>
        <v>0</v>
      </c>
      <c r="R469" s="253">
        <f t="shared" si="146"/>
        <v>0</v>
      </c>
      <c r="S469" s="251">
        <f>SUMIFS('tuot-rehukirjanpito'!D:D,'tuot-rehukirjanpito'!A:A,A469)</f>
        <v>0</v>
      </c>
      <c r="T469" s="254">
        <f t="shared" si="140"/>
        <v>1098.9000000000001</v>
      </c>
      <c r="U469" s="254">
        <f t="shared" si="141"/>
        <v>1098.8999999999999</v>
      </c>
      <c r="V469" s="252">
        <f t="shared" si="142"/>
        <v>-513186.30000000435</v>
      </c>
      <c r="W469" s="255">
        <f t="shared" si="143"/>
        <v>-467.00000000000392</v>
      </c>
      <c r="X469" s="256" t="str">
        <f t="shared" si="130"/>
        <v/>
      </c>
      <c r="Y469" s="256" t="str">
        <f t="shared" si="131"/>
        <v/>
      </c>
      <c r="Z469" s="224" t="str">
        <f>IF(IFERROR(INDEX('tuot-rehukirjanpito'!I:I,MATCH(A469,'tuot-rehukirjanpito'!G:G,0)),)=0,"",INDEX('tuot-rehukirjanpito'!I:I,MATCH(A469,'tuot-rehukirjanpito'!G:G,0)))</f>
        <v/>
      </c>
      <c r="AA469" s="224">
        <f>SUMIFS('tuot-INFO'!$K$10:$K$115,'tuot-INFO'!$A$10:$A$115,'tuot-PVÄ'!B469)</f>
        <v>66.099999999999994</v>
      </c>
      <c r="AB469" s="224">
        <f>SUMIFS('rehu-vesi-INFO'!$R:$R,'rehu-vesi-INFO'!$A:$A,'tuot-PVÄ'!B469)</f>
        <v>1738</v>
      </c>
      <c r="AC469" s="224">
        <f>SUMIFS('rehu-vesi-INFO'!$S:$S,'rehu-vesi-INFO'!$A:$A,'tuot-PVÄ'!B469)</f>
        <v>1846</v>
      </c>
      <c r="AD469" s="224">
        <f t="shared" si="133"/>
        <v>108</v>
      </c>
      <c r="AE469" s="224">
        <f t="shared" si="134"/>
        <v>0</v>
      </c>
      <c r="AF469" s="224">
        <f t="shared" si="135"/>
        <v>173.8</v>
      </c>
      <c r="AG469" s="224">
        <f t="shared" si="136"/>
        <v>10.8</v>
      </c>
      <c r="AH469" s="257">
        <f t="shared" si="138"/>
        <v>0</v>
      </c>
      <c r="AI469" s="258">
        <f t="shared" si="139"/>
        <v>0</v>
      </c>
      <c r="AJ469" s="55">
        <f>SUMIFS('tuot-INFO'!W:W,'tuot-INFO'!$A:$A,'tuot-PVÄ'!B469)</f>
        <v>69.842999999999989</v>
      </c>
      <c r="AK469" s="55">
        <f>SUMIFS('tuot-INFO'!X:X,'tuot-INFO'!$A:$A,'tuot-PVÄ'!B469)</f>
        <v>7.5100000000000051</v>
      </c>
    </row>
    <row r="470" spans="1:37" x14ac:dyDescent="0.25">
      <c r="A470" s="169">
        <f t="shared" si="137"/>
        <v>42956</v>
      </c>
      <c r="B470" s="23">
        <f>ROUNDUP((A470-Yleistiedot!$B$4)/7,0)</f>
        <v>84</v>
      </c>
      <c r="C470" s="16"/>
      <c r="D470" s="25"/>
      <c r="E470" s="25"/>
      <c r="F470" s="25"/>
      <c r="G470" s="25"/>
      <c r="H470" s="25"/>
      <c r="I470" s="65">
        <f t="shared" si="132"/>
        <v>0</v>
      </c>
      <c r="J470" s="26"/>
      <c r="K470" s="25"/>
      <c r="L470" s="16"/>
      <c r="M470" s="16"/>
      <c r="N470" s="25"/>
      <c r="O470" s="30"/>
      <c r="P470" s="252">
        <f t="shared" si="144"/>
        <v>9990</v>
      </c>
      <c r="Q470" s="253">
        <f t="shared" si="145"/>
        <v>0</v>
      </c>
      <c r="R470" s="253">
        <f t="shared" si="146"/>
        <v>0</v>
      </c>
      <c r="S470" s="251">
        <f>SUMIFS('tuot-rehukirjanpito'!D:D,'tuot-rehukirjanpito'!A:A,A470)</f>
        <v>0</v>
      </c>
      <c r="T470" s="254">
        <f t="shared" si="140"/>
        <v>1098.9000000000001</v>
      </c>
      <c r="U470" s="254">
        <f t="shared" si="141"/>
        <v>1098.8999999999999</v>
      </c>
      <c r="V470" s="252">
        <f t="shared" si="142"/>
        <v>-514285.20000000438</v>
      </c>
      <c r="W470" s="255">
        <f t="shared" si="143"/>
        <v>-468.00000000000392</v>
      </c>
      <c r="X470" s="256" t="str">
        <f t="shared" si="130"/>
        <v/>
      </c>
      <c r="Y470" s="256" t="str">
        <f t="shared" si="131"/>
        <v/>
      </c>
      <c r="Z470" s="224" t="str">
        <f>IF(IFERROR(INDEX('tuot-rehukirjanpito'!I:I,MATCH(A470,'tuot-rehukirjanpito'!G:G,0)),)=0,"",INDEX('tuot-rehukirjanpito'!I:I,MATCH(A470,'tuot-rehukirjanpito'!G:G,0)))</f>
        <v/>
      </c>
      <c r="AA470" s="224">
        <f>SUMIFS('tuot-INFO'!$K$10:$K$115,'tuot-INFO'!$A$10:$A$115,'tuot-PVÄ'!B470)</f>
        <v>66.099999999999994</v>
      </c>
      <c r="AB470" s="224">
        <f>SUMIFS('rehu-vesi-INFO'!$R:$R,'rehu-vesi-INFO'!$A:$A,'tuot-PVÄ'!B470)</f>
        <v>1738</v>
      </c>
      <c r="AC470" s="224">
        <f>SUMIFS('rehu-vesi-INFO'!$S:$S,'rehu-vesi-INFO'!$A:$A,'tuot-PVÄ'!B470)</f>
        <v>1846</v>
      </c>
      <c r="AD470" s="224">
        <f t="shared" si="133"/>
        <v>108</v>
      </c>
      <c r="AE470" s="224">
        <f t="shared" si="134"/>
        <v>0</v>
      </c>
      <c r="AF470" s="224">
        <f t="shared" si="135"/>
        <v>173.8</v>
      </c>
      <c r="AG470" s="224">
        <f t="shared" si="136"/>
        <v>10.8</v>
      </c>
      <c r="AH470" s="257">
        <f t="shared" si="138"/>
        <v>0</v>
      </c>
      <c r="AI470" s="258">
        <f t="shared" si="139"/>
        <v>0</v>
      </c>
      <c r="AJ470" s="55">
        <f>SUMIFS('tuot-INFO'!W:W,'tuot-INFO'!$A:$A,'tuot-PVÄ'!B470)</f>
        <v>69.842999999999989</v>
      </c>
      <c r="AK470" s="55">
        <f>SUMIFS('tuot-INFO'!X:X,'tuot-INFO'!$A:$A,'tuot-PVÄ'!B470)</f>
        <v>7.5100000000000051</v>
      </c>
    </row>
    <row r="471" spans="1:37" x14ac:dyDescent="0.25">
      <c r="A471" s="169">
        <f t="shared" si="137"/>
        <v>42957</v>
      </c>
      <c r="B471" s="23">
        <f>ROUNDUP((A471-Yleistiedot!$B$4)/7,0)</f>
        <v>84</v>
      </c>
      <c r="C471" s="16"/>
      <c r="D471" s="25"/>
      <c r="E471" s="25"/>
      <c r="F471" s="25"/>
      <c r="G471" s="25"/>
      <c r="H471" s="25"/>
      <c r="I471" s="65">
        <f t="shared" si="132"/>
        <v>0</v>
      </c>
      <c r="J471" s="26"/>
      <c r="K471" s="25"/>
      <c r="L471" s="16"/>
      <c r="M471" s="16"/>
      <c r="N471" s="25"/>
      <c r="O471" s="30"/>
      <c r="P471" s="252">
        <f t="shared" si="144"/>
        <v>9990</v>
      </c>
      <c r="Q471" s="253">
        <f t="shared" si="145"/>
        <v>0</v>
      </c>
      <c r="R471" s="253">
        <f t="shared" si="146"/>
        <v>0</v>
      </c>
      <c r="S471" s="251">
        <f>SUMIFS('tuot-rehukirjanpito'!D:D,'tuot-rehukirjanpito'!A:A,A471)</f>
        <v>0</v>
      </c>
      <c r="T471" s="254">
        <f t="shared" si="140"/>
        <v>1098.9000000000001</v>
      </c>
      <c r="U471" s="254">
        <f t="shared" si="141"/>
        <v>1098.8999999999999</v>
      </c>
      <c r="V471" s="252">
        <f t="shared" si="142"/>
        <v>-515384.1000000044</v>
      </c>
      <c r="W471" s="255">
        <f t="shared" si="143"/>
        <v>-469.00000000000398</v>
      </c>
      <c r="X471" s="256" t="str">
        <f t="shared" ref="X471:X534" si="147">IF(S471&lt;&gt;0,ROUND(A471+W470,0),"")</f>
        <v/>
      </c>
      <c r="Y471" s="256" t="str">
        <f t="shared" ref="Y471:Y534" si="148">IF(S471&lt;&gt;0,ROUND(A471+W471,0),"")</f>
        <v/>
      </c>
      <c r="Z471" s="224" t="str">
        <f>IF(IFERROR(INDEX('tuot-rehukirjanpito'!I:I,MATCH(A471,'tuot-rehukirjanpito'!G:G,0)),)=0,"",INDEX('tuot-rehukirjanpito'!I:I,MATCH(A471,'tuot-rehukirjanpito'!G:G,0)))</f>
        <v/>
      </c>
      <c r="AA471" s="224">
        <f>SUMIFS('tuot-INFO'!$K$10:$K$115,'tuot-INFO'!$A$10:$A$115,'tuot-PVÄ'!B471)</f>
        <v>66.099999999999994</v>
      </c>
      <c r="AB471" s="224">
        <f>SUMIFS('rehu-vesi-INFO'!$R:$R,'rehu-vesi-INFO'!$A:$A,'tuot-PVÄ'!B471)</f>
        <v>1738</v>
      </c>
      <c r="AC471" s="224">
        <f>SUMIFS('rehu-vesi-INFO'!$S:$S,'rehu-vesi-INFO'!$A:$A,'tuot-PVÄ'!B471)</f>
        <v>1846</v>
      </c>
      <c r="AD471" s="224">
        <f t="shared" si="133"/>
        <v>108</v>
      </c>
      <c r="AE471" s="224">
        <f t="shared" si="134"/>
        <v>0</v>
      </c>
      <c r="AF471" s="224">
        <f t="shared" si="135"/>
        <v>173.8</v>
      </c>
      <c r="AG471" s="224">
        <f t="shared" si="136"/>
        <v>10.8</v>
      </c>
      <c r="AH471" s="257">
        <f t="shared" si="138"/>
        <v>0</v>
      </c>
      <c r="AI471" s="258">
        <f t="shared" si="139"/>
        <v>0</v>
      </c>
      <c r="AJ471" s="55">
        <f>SUMIFS('tuot-INFO'!W:W,'tuot-INFO'!$A:$A,'tuot-PVÄ'!B471)</f>
        <v>69.842999999999989</v>
      </c>
      <c r="AK471" s="55">
        <f>SUMIFS('tuot-INFO'!X:X,'tuot-INFO'!$A:$A,'tuot-PVÄ'!B471)</f>
        <v>7.5100000000000051</v>
      </c>
    </row>
    <row r="472" spans="1:37" x14ac:dyDescent="0.25">
      <c r="A472" s="169">
        <f t="shared" si="137"/>
        <v>42958</v>
      </c>
      <c r="B472" s="23">
        <f>ROUNDUP((A472-Yleistiedot!$B$4)/7,0)</f>
        <v>84</v>
      </c>
      <c r="C472" s="16"/>
      <c r="D472" s="25"/>
      <c r="E472" s="25"/>
      <c r="F472" s="25"/>
      <c r="G472" s="25"/>
      <c r="H472" s="25"/>
      <c r="I472" s="65">
        <f t="shared" si="132"/>
        <v>0</v>
      </c>
      <c r="J472" s="26"/>
      <c r="K472" s="25"/>
      <c r="L472" s="16"/>
      <c r="M472" s="16"/>
      <c r="N472" s="25"/>
      <c r="O472" s="30"/>
      <c r="P472" s="252">
        <f t="shared" si="144"/>
        <v>9990</v>
      </c>
      <c r="Q472" s="253">
        <f t="shared" si="145"/>
        <v>0</v>
      </c>
      <c r="R472" s="253">
        <f t="shared" si="146"/>
        <v>0</v>
      </c>
      <c r="S472" s="251">
        <f>SUMIFS('tuot-rehukirjanpito'!D:D,'tuot-rehukirjanpito'!A:A,A472)</f>
        <v>0</v>
      </c>
      <c r="T472" s="254">
        <f t="shared" si="140"/>
        <v>1098.9000000000001</v>
      </c>
      <c r="U472" s="254">
        <f t="shared" si="141"/>
        <v>1098.8999999999999</v>
      </c>
      <c r="V472" s="252">
        <f t="shared" si="142"/>
        <v>-516483.00000000442</v>
      </c>
      <c r="W472" s="255">
        <f t="shared" si="143"/>
        <v>-470.00000000000398</v>
      </c>
      <c r="X472" s="256" t="str">
        <f t="shared" si="147"/>
        <v/>
      </c>
      <c r="Y472" s="256" t="str">
        <f t="shared" si="148"/>
        <v/>
      </c>
      <c r="Z472" s="224" t="str">
        <f>IF(IFERROR(INDEX('tuot-rehukirjanpito'!I:I,MATCH(A472,'tuot-rehukirjanpito'!G:G,0)),)=0,"",INDEX('tuot-rehukirjanpito'!I:I,MATCH(A472,'tuot-rehukirjanpito'!G:G,0)))</f>
        <v/>
      </c>
      <c r="AA472" s="224">
        <f>SUMIFS('tuot-INFO'!$K$10:$K$115,'tuot-INFO'!$A$10:$A$115,'tuot-PVÄ'!B472)</f>
        <v>66.099999999999994</v>
      </c>
      <c r="AB472" s="224">
        <f>SUMIFS('rehu-vesi-INFO'!$R:$R,'rehu-vesi-INFO'!$A:$A,'tuot-PVÄ'!B472)</f>
        <v>1738</v>
      </c>
      <c r="AC472" s="224">
        <f>SUMIFS('rehu-vesi-INFO'!$S:$S,'rehu-vesi-INFO'!$A:$A,'tuot-PVÄ'!B472)</f>
        <v>1846</v>
      </c>
      <c r="AD472" s="224">
        <f t="shared" si="133"/>
        <v>108</v>
      </c>
      <c r="AE472" s="224">
        <f t="shared" si="134"/>
        <v>0</v>
      </c>
      <c r="AF472" s="224">
        <f t="shared" si="135"/>
        <v>173.8</v>
      </c>
      <c r="AG472" s="224">
        <f t="shared" si="136"/>
        <v>10.8</v>
      </c>
      <c r="AH472" s="257">
        <f t="shared" si="138"/>
        <v>0</v>
      </c>
      <c r="AI472" s="258">
        <f t="shared" si="139"/>
        <v>0</v>
      </c>
      <c r="AJ472" s="55">
        <f>SUMIFS('tuot-INFO'!W:W,'tuot-INFO'!$A:$A,'tuot-PVÄ'!B472)</f>
        <v>69.842999999999989</v>
      </c>
      <c r="AK472" s="55">
        <f>SUMIFS('tuot-INFO'!X:X,'tuot-INFO'!$A:$A,'tuot-PVÄ'!B472)</f>
        <v>7.5100000000000051</v>
      </c>
    </row>
    <row r="473" spans="1:37" x14ac:dyDescent="0.25">
      <c r="A473" s="169">
        <f t="shared" si="137"/>
        <v>42959</v>
      </c>
      <c r="B473" s="23">
        <f>ROUNDUP((A473-Yleistiedot!$B$4)/7,0)</f>
        <v>85</v>
      </c>
      <c r="C473" s="16"/>
      <c r="D473" s="25"/>
      <c r="E473" s="25"/>
      <c r="F473" s="25"/>
      <c r="G473" s="25"/>
      <c r="H473" s="25"/>
      <c r="I473" s="65">
        <f t="shared" si="132"/>
        <v>0</v>
      </c>
      <c r="J473" s="26"/>
      <c r="K473" s="25"/>
      <c r="L473" s="16"/>
      <c r="M473" s="16"/>
      <c r="N473" s="25"/>
      <c r="O473" s="30"/>
      <c r="P473" s="252">
        <f t="shared" si="144"/>
        <v>9990</v>
      </c>
      <c r="Q473" s="253">
        <f t="shared" si="145"/>
        <v>0</v>
      </c>
      <c r="R473" s="253">
        <f t="shared" si="146"/>
        <v>0</v>
      </c>
      <c r="S473" s="251">
        <f>SUMIFS('tuot-rehukirjanpito'!D:D,'tuot-rehukirjanpito'!A:A,A473)</f>
        <v>0</v>
      </c>
      <c r="T473" s="254">
        <f t="shared" si="140"/>
        <v>1098.9000000000001</v>
      </c>
      <c r="U473" s="254">
        <f t="shared" si="141"/>
        <v>1098.8999999999999</v>
      </c>
      <c r="V473" s="252">
        <f t="shared" si="142"/>
        <v>-517581.90000000445</v>
      </c>
      <c r="W473" s="255">
        <f t="shared" si="143"/>
        <v>-471.00000000000404</v>
      </c>
      <c r="X473" s="256" t="str">
        <f t="shared" si="147"/>
        <v/>
      </c>
      <c r="Y473" s="256" t="str">
        <f t="shared" si="148"/>
        <v/>
      </c>
      <c r="Z473" s="224" t="str">
        <f>IF(IFERROR(INDEX('tuot-rehukirjanpito'!I:I,MATCH(A473,'tuot-rehukirjanpito'!G:G,0)),)=0,"",INDEX('tuot-rehukirjanpito'!I:I,MATCH(A473,'tuot-rehukirjanpito'!G:G,0)))</f>
        <v/>
      </c>
      <c r="AA473" s="224">
        <f>SUMIFS('tuot-INFO'!$K$10:$K$115,'tuot-INFO'!$A$10:$A$115,'tuot-PVÄ'!B473)</f>
        <v>66.2</v>
      </c>
      <c r="AB473" s="224">
        <f>SUMIFS('rehu-vesi-INFO'!$R:$R,'rehu-vesi-INFO'!$A:$A,'tuot-PVÄ'!B473)</f>
        <v>1739</v>
      </c>
      <c r="AC473" s="224">
        <f>SUMIFS('rehu-vesi-INFO'!$S:$S,'rehu-vesi-INFO'!$A:$A,'tuot-PVÄ'!B473)</f>
        <v>1847</v>
      </c>
      <c r="AD473" s="224">
        <f t="shared" si="133"/>
        <v>108</v>
      </c>
      <c r="AE473" s="224">
        <f t="shared" si="134"/>
        <v>0</v>
      </c>
      <c r="AF473" s="224">
        <f t="shared" si="135"/>
        <v>173.9</v>
      </c>
      <c r="AG473" s="224">
        <f t="shared" si="136"/>
        <v>10.8</v>
      </c>
      <c r="AH473" s="257">
        <f t="shared" si="138"/>
        <v>0</v>
      </c>
      <c r="AI473" s="258">
        <f t="shared" si="139"/>
        <v>0</v>
      </c>
      <c r="AJ473" s="55">
        <f>SUMIFS('tuot-INFO'!W:W,'tuot-INFO'!$A:$A,'tuot-PVÄ'!B473)</f>
        <v>69.192000000000007</v>
      </c>
      <c r="AK473" s="55">
        <f>SUMIFS('tuot-INFO'!X:X,'tuot-INFO'!$A:$A,'tuot-PVÄ'!B473)</f>
        <v>7.4399999999999977</v>
      </c>
    </row>
    <row r="474" spans="1:37" x14ac:dyDescent="0.25">
      <c r="A474" s="169">
        <f t="shared" si="137"/>
        <v>42960</v>
      </c>
      <c r="B474" s="23">
        <f>ROUNDUP((A474-Yleistiedot!$B$4)/7,0)</f>
        <v>85</v>
      </c>
      <c r="C474" s="16"/>
      <c r="D474" s="25"/>
      <c r="E474" s="25"/>
      <c r="F474" s="25"/>
      <c r="G474" s="25"/>
      <c r="H474" s="25"/>
      <c r="I474" s="65">
        <f t="shared" si="132"/>
        <v>0</v>
      </c>
      <c r="J474" s="26"/>
      <c r="K474" s="25"/>
      <c r="L474" s="16"/>
      <c r="M474" s="16"/>
      <c r="N474" s="25"/>
      <c r="O474" s="30"/>
      <c r="P474" s="252">
        <f t="shared" si="144"/>
        <v>9990</v>
      </c>
      <c r="Q474" s="253">
        <f t="shared" si="145"/>
        <v>0</v>
      </c>
      <c r="R474" s="253">
        <f t="shared" si="146"/>
        <v>0</v>
      </c>
      <c r="S474" s="251">
        <f>SUMIFS('tuot-rehukirjanpito'!D:D,'tuot-rehukirjanpito'!A:A,A474)</f>
        <v>0</v>
      </c>
      <c r="T474" s="254">
        <f t="shared" si="140"/>
        <v>1098.9000000000001</v>
      </c>
      <c r="U474" s="254">
        <f t="shared" si="141"/>
        <v>1098.8999999999999</v>
      </c>
      <c r="V474" s="252">
        <f t="shared" si="142"/>
        <v>-518680.80000000447</v>
      </c>
      <c r="W474" s="255">
        <f t="shared" si="143"/>
        <v>-472.00000000000404</v>
      </c>
      <c r="X474" s="256" t="str">
        <f t="shared" si="147"/>
        <v/>
      </c>
      <c r="Y474" s="256" t="str">
        <f t="shared" si="148"/>
        <v/>
      </c>
      <c r="Z474" s="224" t="str">
        <f>IF(IFERROR(INDEX('tuot-rehukirjanpito'!I:I,MATCH(A474,'tuot-rehukirjanpito'!G:G,0)),)=0,"",INDEX('tuot-rehukirjanpito'!I:I,MATCH(A474,'tuot-rehukirjanpito'!G:G,0)))</f>
        <v/>
      </c>
      <c r="AA474" s="224">
        <f>SUMIFS('tuot-INFO'!$K$10:$K$115,'tuot-INFO'!$A$10:$A$115,'tuot-PVÄ'!B474)</f>
        <v>66.2</v>
      </c>
      <c r="AB474" s="224">
        <f>SUMIFS('rehu-vesi-INFO'!$R:$R,'rehu-vesi-INFO'!$A:$A,'tuot-PVÄ'!B474)</f>
        <v>1739</v>
      </c>
      <c r="AC474" s="224">
        <f>SUMIFS('rehu-vesi-INFO'!$S:$S,'rehu-vesi-INFO'!$A:$A,'tuot-PVÄ'!B474)</f>
        <v>1847</v>
      </c>
      <c r="AD474" s="224">
        <f t="shared" si="133"/>
        <v>108</v>
      </c>
      <c r="AE474" s="224">
        <f t="shared" si="134"/>
        <v>0</v>
      </c>
      <c r="AF474" s="224">
        <f t="shared" si="135"/>
        <v>173.9</v>
      </c>
      <c r="AG474" s="224">
        <f t="shared" si="136"/>
        <v>10.8</v>
      </c>
      <c r="AH474" s="257">
        <f t="shared" si="138"/>
        <v>0</v>
      </c>
      <c r="AI474" s="258">
        <f t="shared" si="139"/>
        <v>0</v>
      </c>
      <c r="AJ474" s="55">
        <f>SUMIFS('tuot-INFO'!W:W,'tuot-INFO'!$A:$A,'tuot-PVÄ'!B474)</f>
        <v>69.192000000000007</v>
      </c>
      <c r="AK474" s="55">
        <f>SUMIFS('tuot-INFO'!X:X,'tuot-INFO'!$A:$A,'tuot-PVÄ'!B474)</f>
        <v>7.4399999999999977</v>
      </c>
    </row>
    <row r="475" spans="1:37" x14ac:dyDescent="0.25">
      <c r="A475" s="169">
        <f t="shared" si="137"/>
        <v>42961</v>
      </c>
      <c r="B475" s="23">
        <f>ROUNDUP((A475-Yleistiedot!$B$4)/7,0)</f>
        <v>85</v>
      </c>
      <c r="C475" s="16"/>
      <c r="D475" s="25"/>
      <c r="E475" s="25"/>
      <c r="F475" s="25"/>
      <c r="G475" s="25"/>
      <c r="H475" s="25"/>
      <c r="I475" s="65">
        <f t="shared" si="132"/>
        <v>0</v>
      </c>
      <c r="J475" s="26"/>
      <c r="K475" s="25"/>
      <c r="L475" s="16"/>
      <c r="M475" s="16"/>
      <c r="N475" s="25"/>
      <c r="O475" s="30"/>
      <c r="P475" s="252">
        <f t="shared" si="144"/>
        <v>9990</v>
      </c>
      <c r="Q475" s="253">
        <f t="shared" si="145"/>
        <v>0</v>
      </c>
      <c r="R475" s="253">
        <f t="shared" si="146"/>
        <v>0</v>
      </c>
      <c r="S475" s="251">
        <f>SUMIFS('tuot-rehukirjanpito'!D:D,'tuot-rehukirjanpito'!A:A,A475)</f>
        <v>0</v>
      </c>
      <c r="T475" s="254">
        <f t="shared" si="140"/>
        <v>1098.9000000000001</v>
      </c>
      <c r="U475" s="254">
        <f t="shared" si="141"/>
        <v>1098.8999999999999</v>
      </c>
      <c r="V475" s="252">
        <f t="shared" si="142"/>
        <v>-519779.70000000449</v>
      </c>
      <c r="W475" s="255">
        <f t="shared" si="143"/>
        <v>-473.00000000000404</v>
      </c>
      <c r="X475" s="256" t="str">
        <f t="shared" si="147"/>
        <v/>
      </c>
      <c r="Y475" s="256" t="str">
        <f t="shared" si="148"/>
        <v/>
      </c>
      <c r="Z475" s="224" t="str">
        <f>IF(IFERROR(INDEX('tuot-rehukirjanpito'!I:I,MATCH(A475,'tuot-rehukirjanpito'!G:G,0)),)=0,"",INDEX('tuot-rehukirjanpito'!I:I,MATCH(A475,'tuot-rehukirjanpito'!G:G,0)))</f>
        <v/>
      </c>
      <c r="AA475" s="224">
        <f>SUMIFS('tuot-INFO'!$K$10:$K$115,'tuot-INFO'!$A$10:$A$115,'tuot-PVÄ'!B475)</f>
        <v>66.2</v>
      </c>
      <c r="AB475" s="224">
        <f>SUMIFS('rehu-vesi-INFO'!$R:$R,'rehu-vesi-INFO'!$A:$A,'tuot-PVÄ'!B475)</f>
        <v>1739</v>
      </c>
      <c r="AC475" s="224">
        <f>SUMIFS('rehu-vesi-INFO'!$S:$S,'rehu-vesi-INFO'!$A:$A,'tuot-PVÄ'!B475)</f>
        <v>1847</v>
      </c>
      <c r="AD475" s="224">
        <f t="shared" si="133"/>
        <v>108</v>
      </c>
      <c r="AE475" s="224">
        <f t="shared" si="134"/>
        <v>0</v>
      </c>
      <c r="AF475" s="224">
        <f t="shared" si="135"/>
        <v>173.9</v>
      </c>
      <c r="AG475" s="224">
        <f t="shared" si="136"/>
        <v>10.8</v>
      </c>
      <c r="AH475" s="257">
        <f t="shared" si="138"/>
        <v>0</v>
      </c>
      <c r="AI475" s="258">
        <f t="shared" si="139"/>
        <v>0</v>
      </c>
      <c r="AJ475" s="55">
        <f>SUMIFS('tuot-INFO'!W:W,'tuot-INFO'!$A:$A,'tuot-PVÄ'!B475)</f>
        <v>69.192000000000007</v>
      </c>
      <c r="AK475" s="55">
        <f>SUMIFS('tuot-INFO'!X:X,'tuot-INFO'!$A:$A,'tuot-PVÄ'!B475)</f>
        <v>7.4399999999999977</v>
      </c>
    </row>
    <row r="476" spans="1:37" x14ac:dyDescent="0.25">
      <c r="A476" s="169">
        <f t="shared" si="137"/>
        <v>42962</v>
      </c>
      <c r="B476" s="23">
        <f>ROUNDUP((A476-Yleistiedot!$B$4)/7,0)</f>
        <v>85</v>
      </c>
      <c r="C476" s="16"/>
      <c r="D476" s="25"/>
      <c r="E476" s="25"/>
      <c r="F476" s="25"/>
      <c r="G476" s="25"/>
      <c r="H476" s="25"/>
      <c r="I476" s="65">
        <f t="shared" si="132"/>
        <v>0</v>
      </c>
      <c r="J476" s="26"/>
      <c r="K476" s="25"/>
      <c r="L476" s="16"/>
      <c r="M476" s="16"/>
      <c r="N476" s="25"/>
      <c r="O476" s="30"/>
      <c r="P476" s="252">
        <f t="shared" si="144"/>
        <v>9990</v>
      </c>
      <c r="Q476" s="253">
        <f t="shared" si="145"/>
        <v>0</v>
      </c>
      <c r="R476" s="253">
        <f t="shared" si="146"/>
        <v>0</v>
      </c>
      <c r="S476" s="251">
        <f>SUMIFS('tuot-rehukirjanpito'!D:D,'tuot-rehukirjanpito'!A:A,A476)</f>
        <v>0</v>
      </c>
      <c r="T476" s="254">
        <f t="shared" si="140"/>
        <v>1098.9000000000001</v>
      </c>
      <c r="U476" s="254">
        <f t="shared" si="141"/>
        <v>1098.8999999999999</v>
      </c>
      <c r="V476" s="252">
        <f t="shared" si="142"/>
        <v>-520878.60000000452</v>
      </c>
      <c r="W476" s="255">
        <f t="shared" si="143"/>
        <v>-474.00000000000409</v>
      </c>
      <c r="X476" s="256" t="str">
        <f t="shared" si="147"/>
        <v/>
      </c>
      <c r="Y476" s="256" t="str">
        <f t="shared" si="148"/>
        <v/>
      </c>
      <c r="Z476" s="224" t="str">
        <f>IF(IFERROR(INDEX('tuot-rehukirjanpito'!I:I,MATCH(A476,'tuot-rehukirjanpito'!G:G,0)),)=0,"",INDEX('tuot-rehukirjanpito'!I:I,MATCH(A476,'tuot-rehukirjanpito'!G:G,0)))</f>
        <v/>
      </c>
      <c r="AA476" s="224">
        <f>SUMIFS('tuot-INFO'!$K$10:$K$115,'tuot-INFO'!$A$10:$A$115,'tuot-PVÄ'!B476)</f>
        <v>66.2</v>
      </c>
      <c r="AB476" s="224">
        <f>SUMIFS('rehu-vesi-INFO'!$R:$R,'rehu-vesi-INFO'!$A:$A,'tuot-PVÄ'!B476)</f>
        <v>1739</v>
      </c>
      <c r="AC476" s="224">
        <f>SUMIFS('rehu-vesi-INFO'!$S:$S,'rehu-vesi-INFO'!$A:$A,'tuot-PVÄ'!B476)</f>
        <v>1847</v>
      </c>
      <c r="AD476" s="224">
        <f t="shared" si="133"/>
        <v>108</v>
      </c>
      <c r="AE476" s="224">
        <f t="shared" si="134"/>
        <v>0</v>
      </c>
      <c r="AF476" s="224">
        <f t="shared" si="135"/>
        <v>173.9</v>
      </c>
      <c r="AG476" s="224">
        <f t="shared" si="136"/>
        <v>10.8</v>
      </c>
      <c r="AH476" s="257">
        <f t="shared" si="138"/>
        <v>0</v>
      </c>
      <c r="AI476" s="258">
        <f t="shared" si="139"/>
        <v>0</v>
      </c>
      <c r="AJ476" s="55">
        <f>SUMIFS('tuot-INFO'!W:W,'tuot-INFO'!$A:$A,'tuot-PVÄ'!B476)</f>
        <v>69.192000000000007</v>
      </c>
      <c r="AK476" s="55">
        <f>SUMIFS('tuot-INFO'!X:X,'tuot-INFO'!$A:$A,'tuot-PVÄ'!B476)</f>
        <v>7.4399999999999977</v>
      </c>
    </row>
    <row r="477" spans="1:37" x14ac:dyDescent="0.25">
      <c r="A477" s="169">
        <f t="shared" si="137"/>
        <v>42963</v>
      </c>
      <c r="B477" s="23">
        <f>ROUNDUP((A477-Yleistiedot!$B$4)/7,0)</f>
        <v>85</v>
      </c>
      <c r="C477" s="16"/>
      <c r="D477" s="25"/>
      <c r="E477" s="25"/>
      <c r="F477" s="25"/>
      <c r="G477" s="25"/>
      <c r="H477" s="25"/>
      <c r="I477" s="65">
        <f t="shared" si="132"/>
        <v>0</v>
      </c>
      <c r="J477" s="26"/>
      <c r="K477" s="25"/>
      <c r="L477" s="16"/>
      <c r="M477" s="16"/>
      <c r="N477" s="25"/>
      <c r="O477" s="30"/>
      <c r="P477" s="252">
        <f t="shared" si="144"/>
        <v>9990</v>
      </c>
      <c r="Q477" s="253">
        <f t="shared" si="145"/>
        <v>0</v>
      </c>
      <c r="R477" s="253">
        <f t="shared" si="146"/>
        <v>0</v>
      </c>
      <c r="S477" s="251">
        <f>SUMIFS('tuot-rehukirjanpito'!D:D,'tuot-rehukirjanpito'!A:A,A477)</f>
        <v>0</v>
      </c>
      <c r="T477" s="254">
        <f t="shared" si="140"/>
        <v>1098.9000000000001</v>
      </c>
      <c r="U477" s="254">
        <f t="shared" si="141"/>
        <v>1098.8999999999999</v>
      </c>
      <c r="V477" s="252">
        <f t="shared" si="142"/>
        <v>-521977.50000000454</v>
      </c>
      <c r="W477" s="255">
        <f t="shared" si="143"/>
        <v>-475.00000000000409</v>
      </c>
      <c r="X477" s="256" t="str">
        <f t="shared" si="147"/>
        <v/>
      </c>
      <c r="Y477" s="256" t="str">
        <f t="shared" si="148"/>
        <v/>
      </c>
      <c r="Z477" s="224" t="str">
        <f>IF(IFERROR(INDEX('tuot-rehukirjanpito'!I:I,MATCH(A477,'tuot-rehukirjanpito'!G:G,0)),)=0,"",INDEX('tuot-rehukirjanpito'!I:I,MATCH(A477,'tuot-rehukirjanpito'!G:G,0)))</f>
        <v/>
      </c>
      <c r="AA477" s="224">
        <f>SUMIFS('tuot-INFO'!$K$10:$K$115,'tuot-INFO'!$A$10:$A$115,'tuot-PVÄ'!B477)</f>
        <v>66.2</v>
      </c>
      <c r="AB477" s="224">
        <f>SUMIFS('rehu-vesi-INFO'!$R:$R,'rehu-vesi-INFO'!$A:$A,'tuot-PVÄ'!B477)</f>
        <v>1739</v>
      </c>
      <c r="AC477" s="224">
        <f>SUMIFS('rehu-vesi-INFO'!$S:$S,'rehu-vesi-INFO'!$A:$A,'tuot-PVÄ'!B477)</f>
        <v>1847</v>
      </c>
      <c r="AD477" s="224">
        <f t="shared" si="133"/>
        <v>108</v>
      </c>
      <c r="AE477" s="224">
        <f t="shared" si="134"/>
        <v>0</v>
      </c>
      <c r="AF477" s="224">
        <f t="shared" si="135"/>
        <v>173.9</v>
      </c>
      <c r="AG477" s="224">
        <f t="shared" si="136"/>
        <v>10.8</v>
      </c>
      <c r="AH477" s="257">
        <f t="shared" si="138"/>
        <v>0</v>
      </c>
      <c r="AI477" s="258">
        <f t="shared" si="139"/>
        <v>0</v>
      </c>
      <c r="AJ477" s="55">
        <f>SUMIFS('tuot-INFO'!W:W,'tuot-INFO'!$A:$A,'tuot-PVÄ'!B477)</f>
        <v>69.192000000000007</v>
      </c>
      <c r="AK477" s="55">
        <f>SUMIFS('tuot-INFO'!X:X,'tuot-INFO'!$A:$A,'tuot-PVÄ'!B477)</f>
        <v>7.4399999999999977</v>
      </c>
    </row>
    <row r="478" spans="1:37" x14ac:dyDescent="0.25">
      <c r="A478" s="169">
        <f t="shared" si="137"/>
        <v>42964</v>
      </c>
      <c r="B478" s="23">
        <f>ROUNDUP((A478-Yleistiedot!$B$4)/7,0)</f>
        <v>85</v>
      </c>
      <c r="C478" s="16"/>
      <c r="D478" s="25"/>
      <c r="E478" s="25"/>
      <c r="F478" s="25"/>
      <c r="G478" s="25"/>
      <c r="H478" s="25"/>
      <c r="I478" s="65">
        <f t="shared" si="132"/>
        <v>0</v>
      </c>
      <c r="J478" s="26"/>
      <c r="K478" s="25"/>
      <c r="L478" s="16"/>
      <c r="M478" s="16"/>
      <c r="N478" s="25"/>
      <c r="O478" s="30"/>
      <c r="P478" s="252">
        <f t="shared" si="144"/>
        <v>9990</v>
      </c>
      <c r="Q478" s="253">
        <f t="shared" si="145"/>
        <v>0</v>
      </c>
      <c r="R478" s="253">
        <f t="shared" si="146"/>
        <v>0</v>
      </c>
      <c r="S478" s="251">
        <f>SUMIFS('tuot-rehukirjanpito'!D:D,'tuot-rehukirjanpito'!A:A,A478)</f>
        <v>0</v>
      </c>
      <c r="T478" s="254">
        <f t="shared" si="140"/>
        <v>1098.9000000000001</v>
      </c>
      <c r="U478" s="254">
        <f t="shared" si="141"/>
        <v>1098.8999999999999</v>
      </c>
      <c r="V478" s="252">
        <f t="shared" si="142"/>
        <v>-523076.40000000456</v>
      </c>
      <c r="W478" s="255">
        <f t="shared" si="143"/>
        <v>-476.00000000000409</v>
      </c>
      <c r="X478" s="256" t="str">
        <f t="shared" si="147"/>
        <v/>
      </c>
      <c r="Y478" s="256" t="str">
        <f t="shared" si="148"/>
        <v/>
      </c>
      <c r="Z478" s="224" t="str">
        <f>IF(IFERROR(INDEX('tuot-rehukirjanpito'!I:I,MATCH(A478,'tuot-rehukirjanpito'!G:G,0)),)=0,"",INDEX('tuot-rehukirjanpito'!I:I,MATCH(A478,'tuot-rehukirjanpito'!G:G,0)))</f>
        <v/>
      </c>
      <c r="AA478" s="224">
        <f>SUMIFS('tuot-INFO'!$K$10:$K$115,'tuot-INFO'!$A$10:$A$115,'tuot-PVÄ'!B478)</f>
        <v>66.2</v>
      </c>
      <c r="AB478" s="224">
        <f>SUMIFS('rehu-vesi-INFO'!$R:$R,'rehu-vesi-INFO'!$A:$A,'tuot-PVÄ'!B478)</f>
        <v>1739</v>
      </c>
      <c r="AC478" s="224">
        <f>SUMIFS('rehu-vesi-INFO'!$S:$S,'rehu-vesi-INFO'!$A:$A,'tuot-PVÄ'!B478)</f>
        <v>1847</v>
      </c>
      <c r="AD478" s="224">
        <f t="shared" si="133"/>
        <v>108</v>
      </c>
      <c r="AE478" s="224">
        <f t="shared" si="134"/>
        <v>0</v>
      </c>
      <c r="AF478" s="224">
        <f t="shared" si="135"/>
        <v>173.9</v>
      </c>
      <c r="AG478" s="224">
        <f t="shared" si="136"/>
        <v>10.8</v>
      </c>
      <c r="AH478" s="257">
        <f t="shared" si="138"/>
        <v>0</v>
      </c>
      <c r="AI478" s="258">
        <f t="shared" si="139"/>
        <v>0</v>
      </c>
      <c r="AJ478" s="55">
        <f>SUMIFS('tuot-INFO'!W:W,'tuot-INFO'!$A:$A,'tuot-PVÄ'!B478)</f>
        <v>69.192000000000007</v>
      </c>
      <c r="AK478" s="55">
        <f>SUMIFS('tuot-INFO'!X:X,'tuot-INFO'!$A:$A,'tuot-PVÄ'!B478)</f>
        <v>7.4399999999999977</v>
      </c>
    </row>
    <row r="479" spans="1:37" x14ac:dyDescent="0.25">
      <c r="A479" s="169">
        <f t="shared" si="137"/>
        <v>42965</v>
      </c>
      <c r="B479" s="23">
        <f>ROUNDUP((A479-Yleistiedot!$B$4)/7,0)</f>
        <v>85</v>
      </c>
      <c r="C479" s="16"/>
      <c r="D479" s="25"/>
      <c r="E479" s="25"/>
      <c r="F479" s="25"/>
      <c r="G479" s="25"/>
      <c r="H479" s="25"/>
      <c r="I479" s="65">
        <f t="shared" si="132"/>
        <v>0</v>
      </c>
      <c r="J479" s="26"/>
      <c r="K479" s="25"/>
      <c r="L479" s="16"/>
      <c r="M479" s="16"/>
      <c r="N479" s="25"/>
      <c r="O479" s="30"/>
      <c r="P479" s="252">
        <f t="shared" si="144"/>
        <v>9990</v>
      </c>
      <c r="Q479" s="253">
        <f t="shared" si="145"/>
        <v>0</v>
      </c>
      <c r="R479" s="253">
        <f t="shared" si="146"/>
        <v>0</v>
      </c>
      <c r="S479" s="251">
        <f>SUMIFS('tuot-rehukirjanpito'!D:D,'tuot-rehukirjanpito'!A:A,A479)</f>
        <v>0</v>
      </c>
      <c r="T479" s="254">
        <f t="shared" si="140"/>
        <v>1098.9000000000001</v>
      </c>
      <c r="U479" s="254">
        <f t="shared" si="141"/>
        <v>1098.8999999999999</v>
      </c>
      <c r="V479" s="252">
        <f t="shared" si="142"/>
        <v>-524175.30000000459</v>
      </c>
      <c r="W479" s="255">
        <f t="shared" si="143"/>
        <v>-477.00000000000415</v>
      </c>
      <c r="X479" s="256" t="str">
        <f t="shared" si="147"/>
        <v/>
      </c>
      <c r="Y479" s="256" t="str">
        <f t="shared" si="148"/>
        <v/>
      </c>
      <c r="Z479" s="224" t="str">
        <f>IF(IFERROR(INDEX('tuot-rehukirjanpito'!I:I,MATCH(A479,'tuot-rehukirjanpito'!G:G,0)),)=0,"",INDEX('tuot-rehukirjanpito'!I:I,MATCH(A479,'tuot-rehukirjanpito'!G:G,0)))</f>
        <v/>
      </c>
      <c r="AA479" s="224">
        <f>SUMIFS('tuot-INFO'!$K$10:$K$115,'tuot-INFO'!$A$10:$A$115,'tuot-PVÄ'!B479)</f>
        <v>66.2</v>
      </c>
      <c r="AB479" s="224">
        <f>SUMIFS('rehu-vesi-INFO'!$R:$R,'rehu-vesi-INFO'!$A:$A,'tuot-PVÄ'!B479)</f>
        <v>1739</v>
      </c>
      <c r="AC479" s="224">
        <f>SUMIFS('rehu-vesi-INFO'!$S:$S,'rehu-vesi-INFO'!$A:$A,'tuot-PVÄ'!B479)</f>
        <v>1847</v>
      </c>
      <c r="AD479" s="224">
        <f t="shared" si="133"/>
        <v>108</v>
      </c>
      <c r="AE479" s="224">
        <f t="shared" si="134"/>
        <v>0</v>
      </c>
      <c r="AF479" s="224">
        <f t="shared" si="135"/>
        <v>173.9</v>
      </c>
      <c r="AG479" s="224">
        <f t="shared" si="136"/>
        <v>10.8</v>
      </c>
      <c r="AH479" s="257">
        <f t="shared" si="138"/>
        <v>0</v>
      </c>
      <c r="AI479" s="258">
        <f t="shared" si="139"/>
        <v>0</v>
      </c>
      <c r="AJ479" s="55">
        <f>SUMIFS('tuot-INFO'!W:W,'tuot-INFO'!$A:$A,'tuot-PVÄ'!B479)</f>
        <v>69.192000000000007</v>
      </c>
      <c r="AK479" s="55">
        <f>SUMIFS('tuot-INFO'!X:X,'tuot-INFO'!$A:$A,'tuot-PVÄ'!B479)</f>
        <v>7.4399999999999977</v>
      </c>
    </row>
    <row r="480" spans="1:37" x14ac:dyDescent="0.25">
      <c r="A480" s="169">
        <f t="shared" si="137"/>
        <v>42966</v>
      </c>
      <c r="B480" s="23">
        <f>ROUNDUP((A480-Yleistiedot!$B$4)/7,0)</f>
        <v>86</v>
      </c>
      <c r="C480" s="16"/>
      <c r="D480" s="25"/>
      <c r="E480" s="25"/>
      <c r="F480" s="25"/>
      <c r="G480" s="25"/>
      <c r="H480" s="25"/>
      <c r="I480" s="65">
        <f t="shared" si="132"/>
        <v>0</v>
      </c>
      <c r="J480" s="26"/>
      <c r="K480" s="25"/>
      <c r="L480" s="16"/>
      <c r="M480" s="16"/>
      <c r="N480" s="25"/>
      <c r="O480" s="30"/>
      <c r="P480" s="252">
        <f t="shared" si="144"/>
        <v>9990</v>
      </c>
      <c r="Q480" s="253">
        <f t="shared" si="145"/>
        <v>0</v>
      </c>
      <c r="R480" s="253">
        <f t="shared" si="146"/>
        <v>0</v>
      </c>
      <c r="S480" s="251">
        <f>SUMIFS('tuot-rehukirjanpito'!D:D,'tuot-rehukirjanpito'!A:A,A480)</f>
        <v>0</v>
      </c>
      <c r="T480" s="254">
        <f t="shared" si="140"/>
        <v>1098.9000000000001</v>
      </c>
      <c r="U480" s="254">
        <f t="shared" si="141"/>
        <v>1098.8999999999999</v>
      </c>
      <c r="V480" s="252">
        <f t="shared" si="142"/>
        <v>-525274.20000000461</v>
      </c>
      <c r="W480" s="255">
        <f t="shared" si="143"/>
        <v>-478.00000000000415</v>
      </c>
      <c r="X480" s="256" t="str">
        <f t="shared" si="147"/>
        <v/>
      </c>
      <c r="Y480" s="256" t="str">
        <f t="shared" si="148"/>
        <v/>
      </c>
      <c r="Z480" s="224" t="str">
        <f>IF(IFERROR(INDEX('tuot-rehukirjanpito'!I:I,MATCH(A480,'tuot-rehukirjanpito'!G:G,0)),)=0,"",INDEX('tuot-rehukirjanpito'!I:I,MATCH(A480,'tuot-rehukirjanpito'!G:G,0)))</f>
        <v/>
      </c>
      <c r="AA480" s="224">
        <f>SUMIFS('tuot-INFO'!$K$10:$K$115,'tuot-INFO'!$A$10:$A$115,'tuot-PVÄ'!B480)</f>
        <v>66.2</v>
      </c>
      <c r="AB480" s="224">
        <f>SUMIFS('rehu-vesi-INFO'!$R:$R,'rehu-vesi-INFO'!$A:$A,'tuot-PVÄ'!B480)</f>
        <v>1740</v>
      </c>
      <c r="AC480" s="224">
        <f>SUMIFS('rehu-vesi-INFO'!$S:$S,'rehu-vesi-INFO'!$A:$A,'tuot-PVÄ'!B480)</f>
        <v>1848</v>
      </c>
      <c r="AD480" s="224">
        <f t="shared" si="133"/>
        <v>108</v>
      </c>
      <c r="AE480" s="224">
        <f t="shared" si="134"/>
        <v>0</v>
      </c>
      <c r="AF480" s="224">
        <f t="shared" si="135"/>
        <v>174</v>
      </c>
      <c r="AG480" s="224">
        <f t="shared" si="136"/>
        <v>10.8</v>
      </c>
      <c r="AH480" s="257">
        <f t="shared" si="138"/>
        <v>0</v>
      </c>
      <c r="AI480" s="258">
        <f t="shared" si="139"/>
        <v>0</v>
      </c>
      <c r="AJ480" s="55">
        <f>SUMIFS('tuot-INFO'!W:W,'tuot-INFO'!$A:$A,'tuot-PVÄ'!B480)</f>
        <v>68.634</v>
      </c>
      <c r="AK480" s="55">
        <f>SUMIFS('tuot-INFO'!X:X,'tuot-INFO'!$A:$A,'tuot-PVÄ'!B480)</f>
        <v>7.3799999999999955</v>
      </c>
    </row>
    <row r="481" spans="1:37" x14ac:dyDescent="0.25">
      <c r="A481" s="169">
        <f t="shared" si="137"/>
        <v>42967</v>
      </c>
      <c r="B481" s="23">
        <f>ROUNDUP((A481-Yleistiedot!$B$4)/7,0)</f>
        <v>86</v>
      </c>
      <c r="C481" s="16"/>
      <c r="D481" s="25"/>
      <c r="E481" s="25"/>
      <c r="F481" s="25"/>
      <c r="G481" s="25"/>
      <c r="H481" s="25"/>
      <c r="I481" s="65">
        <f t="shared" si="132"/>
        <v>0</v>
      </c>
      <c r="J481" s="26"/>
      <c r="K481" s="25"/>
      <c r="L481" s="16"/>
      <c r="M481" s="16"/>
      <c r="N481" s="25"/>
      <c r="O481" s="30"/>
      <c r="P481" s="252">
        <f t="shared" si="144"/>
        <v>9990</v>
      </c>
      <c r="Q481" s="253">
        <f t="shared" si="145"/>
        <v>0</v>
      </c>
      <c r="R481" s="253">
        <f t="shared" si="146"/>
        <v>0</v>
      </c>
      <c r="S481" s="251">
        <f>SUMIFS('tuot-rehukirjanpito'!D:D,'tuot-rehukirjanpito'!A:A,A481)</f>
        <v>0</v>
      </c>
      <c r="T481" s="254">
        <f t="shared" si="140"/>
        <v>1098.9000000000001</v>
      </c>
      <c r="U481" s="254">
        <f t="shared" si="141"/>
        <v>1098.8999999999999</v>
      </c>
      <c r="V481" s="252">
        <f t="shared" si="142"/>
        <v>-526373.10000000463</v>
      </c>
      <c r="W481" s="255">
        <f t="shared" si="143"/>
        <v>-479.00000000000415</v>
      </c>
      <c r="X481" s="256" t="str">
        <f t="shared" si="147"/>
        <v/>
      </c>
      <c r="Y481" s="256" t="str">
        <f t="shared" si="148"/>
        <v/>
      </c>
      <c r="Z481" s="224" t="str">
        <f>IF(IFERROR(INDEX('tuot-rehukirjanpito'!I:I,MATCH(A481,'tuot-rehukirjanpito'!G:G,0)),)=0,"",INDEX('tuot-rehukirjanpito'!I:I,MATCH(A481,'tuot-rehukirjanpito'!G:G,0)))</f>
        <v/>
      </c>
      <c r="AA481" s="224">
        <f>SUMIFS('tuot-INFO'!$K$10:$K$115,'tuot-INFO'!$A$10:$A$115,'tuot-PVÄ'!B481)</f>
        <v>66.2</v>
      </c>
      <c r="AB481" s="224">
        <f>SUMIFS('rehu-vesi-INFO'!$R:$R,'rehu-vesi-INFO'!$A:$A,'tuot-PVÄ'!B481)</f>
        <v>1740</v>
      </c>
      <c r="AC481" s="224">
        <f>SUMIFS('rehu-vesi-INFO'!$S:$S,'rehu-vesi-INFO'!$A:$A,'tuot-PVÄ'!B481)</f>
        <v>1848</v>
      </c>
      <c r="AD481" s="224">
        <f t="shared" si="133"/>
        <v>108</v>
      </c>
      <c r="AE481" s="224">
        <f t="shared" si="134"/>
        <v>0</v>
      </c>
      <c r="AF481" s="224">
        <f t="shared" si="135"/>
        <v>174</v>
      </c>
      <c r="AG481" s="224">
        <f t="shared" si="136"/>
        <v>10.8</v>
      </c>
      <c r="AH481" s="257">
        <f t="shared" si="138"/>
        <v>0</v>
      </c>
      <c r="AI481" s="258">
        <f t="shared" si="139"/>
        <v>0</v>
      </c>
      <c r="AJ481" s="55">
        <f>SUMIFS('tuot-INFO'!W:W,'tuot-INFO'!$A:$A,'tuot-PVÄ'!B481)</f>
        <v>68.634</v>
      </c>
      <c r="AK481" s="55">
        <f>SUMIFS('tuot-INFO'!X:X,'tuot-INFO'!$A:$A,'tuot-PVÄ'!B481)</f>
        <v>7.3799999999999955</v>
      </c>
    </row>
    <row r="482" spans="1:37" x14ac:dyDescent="0.25">
      <c r="A482" s="169">
        <f t="shared" si="137"/>
        <v>42968</v>
      </c>
      <c r="B482" s="23">
        <f>ROUNDUP((A482-Yleistiedot!$B$4)/7,0)</f>
        <v>86</v>
      </c>
      <c r="C482" s="16"/>
      <c r="D482" s="25"/>
      <c r="E482" s="25"/>
      <c r="F482" s="25"/>
      <c r="G482" s="25"/>
      <c r="H482" s="25"/>
      <c r="I482" s="65">
        <f t="shared" si="132"/>
        <v>0</v>
      </c>
      <c r="J482" s="26"/>
      <c r="K482" s="25"/>
      <c r="L482" s="16"/>
      <c r="M482" s="16"/>
      <c r="N482" s="25"/>
      <c r="O482" s="30"/>
      <c r="P482" s="252">
        <f t="shared" si="144"/>
        <v>9990</v>
      </c>
      <c r="Q482" s="253">
        <f t="shared" si="145"/>
        <v>0</v>
      </c>
      <c r="R482" s="253">
        <f t="shared" si="146"/>
        <v>0</v>
      </c>
      <c r="S482" s="251">
        <f>SUMIFS('tuot-rehukirjanpito'!D:D,'tuot-rehukirjanpito'!A:A,A482)</f>
        <v>0</v>
      </c>
      <c r="T482" s="254">
        <f t="shared" si="140"/>
        <v>1098.9000000000001</v>
      </c>
      <c r="U482" s="254">
        <f t="shared" si="141"/>
        <v>1098.8999999999999</v>
      </c>
      <c r="V482" s="252">
        <f t="shared" si="142"/>
        <v>-527472.00000000466</v>
      </c>
      <c r="W482" s="255">
        <f t="shared" si="143"/>
        <v>-480.00000000000421</v>
      </c>
      <c r="X482" s="256" t="str">
        <f t="shared" si="147"/>
        <v/>
      </c>
      <c r="Y482" s="256" t="str">
        <f t="shared" si="148"/>
        <v/>
      </c>
      <c r="Z482" s="224" t="str">
        <f>IF(IFERROR(INDEX('tuot-rehukirjanpito'!I:I,MATCH(A482,'tuot-rehukirjanpito'!G:G,0)),)=0,"",INDEX('tuot-rehukirjanpito'!I:I,MATCH(A482,'tuot-rehukirjanpito'!G:G,0)))</f>
        <v/>
      </c>
      <c r="AA482" s="224">
        <f>SUMIFS('tuot-INFO'!$K$10:$K$115,'tuot-INFO'!$A$10:$A$115,'tuot-PVÄ'!B482)</f>
        <v>66.2</v>
      </c>
      <c r="AB482" s="224">
        <f>SUMIFS('rehu-vesi-INFO'!$R:$R,'rehu-vesi-INFO'!$A:$A,'tuot-PVÄ'!B482)</f>
        <v>1740</v>
      </c>
      <c r="AC482" s="224">
        <f>SUMIFS('rehu-vesi-INFO'!$S:$S,'rehu-vesi-INFO'!$A:$A,'tuot-PVÄ'!B482)</f>
        <v>1848</v>
      </c>
      <c r="AD482" s="224">
        <f t="shared" si="133"/>
        <v>108</v>
      </c>
      <c r="AE482" s="224">
        <f t="shared" si="134"/>
        <v>0</v>
      </c>
      <c r="AF482" s="224">
        <f t="shared" si="135"/>
        <v>174</v>
      </c>
      <c r="AG482" s="224">
        <f t="shared" si="136"/>
        <v>10.8</v>
      </c>
      <c r="AH482" s="257">
        <f t="shared" si="138"/>
        <v>0</v>
      </c>
      <c r="AI482" s="258">
        <f t="shared" si="139"/>
        <v>0</v>
      </c>
      <c r="AJ482" s="55">
        <f>SUMIFS('tuot-INFO'!W:W,'tuot-INFO'!$A:$A,'tuot-PVÄ'!B482)</f>
        <v>68.634</v>
      </c>
      <c r="AK482" s="55">
        <f>SUMIFS('tuot-INFO'!X:X,'tuot-INFO'!$A:$A,'tuot-PVÄ'!B482)</f>
        <v>7.3799999999999955</v>
      </c>
    </row>
    <row r="483" spans="1:37" x14ac:dyDescent="0.25">
      <c r="A483" s="169">
        <f t="shared" si="137"/>
        <v>42969</v>
      </c>
      <c r="B483" s="23">
        <f>ROUNDUP((A483-Yleistiedot!$B$4)/7,0)</f>
        <v>86</v>
      </c>
      <c r="C483" s="16"/>
      <c r="D483" s="25"/>
      <c r="E483" s="25"/>
      <c r="F483" s="25"/>
      <c r="G483" s="25"/>
      <c r="H483" s="25"/>
      <c r="I483" s="65">
        <f t="shared" si="132"/>
        <v>0</v>
      </c>
      <c r="J483" s="26"/>
      <c r="K483" s="25"/>
      <c r="L483" s="16"/>
      <c r="M483" s="16"/>
      <c r="N483" s="25"/>
      <c r="O483" s="30"/>
      <c r="P483" s="252">
        <f t="shared" si="144"/>
        <v>9990</v>
      </c>
      <c r="Q483" s="253">
        <f t="shared" si="145"/>
        <v>0</v>
      </c>
      <c r="R483" s="253">
        <f t="shared" si="146"/>
        <v>0</v>
      </c>
      <c r="S483" s="251">
        <f>SUMIFS('tuot-rehukirjanpito'!D:D,'tuot-rehukirjanpito'!A:A,A483)</f>
        <v>0</v>
      </c>
      <c r="T483" s="254">
        <f t="shared" si="140"/>
        <v>1098.9000000000001</v>
      </c>
      <c r="U483" s="254">
        <f t="shared" si="141"/>
        <v>1098.8999999999999</v>
      </c>
      <c r="V483" s="252">
        <f t="shared" si="142"/>
        <v>-528570.90000000468</v>
      </c>
      <c r="W483" s="255">
        <f t="shared" si="143"/>
        <v>-481.00000000000421</v>
      </c>
      <c r="X483" s="256" t="str">
        <f t="shared" si="147"/>
        <v/>
      </c>
      <c r="Y483" s="256" t="str">
        <f t="shared" si="148"/>
        <v/>
      </c>
      <c r="Z483" s="224" t="str">
        <f>IF(IFERROR(INDEX('tuot-rehukirjanpito'!I:I,MATCH(A483,'tuot-rehukirjanpito'!G:G,0)),)=0,"",INDEX('tuot-rehukirjanpito'!I:I,MATCH(A483,'tuot-rehukirjanpito'!G:G,0)))</f>
        <v/>
      </c>
      <c r="AA483" s="224">
        <f>SUMIFS('tuot-INFO'!$K$10:$K$115,'tuot-INFO'!$A$10:$A$115,'tuot-PVÄ'!B483)</f>
        <v>66.2</v>
      </c>
      <c r="AB483" s="224">
        <f>SUMIFS('rehu-vesi-INFO'!$R:$R,'rehu-vesi-INFO'!$A:$A,'tuot-PVÄ'!B483)</f>
        <v>1740</v>
      </c>
      <c r="AC483" s="224">
        <f>SUMIFS('rehu-vesi-INFO'!$S:$S,'rehu-vesi-INFO'!$A:$A,'tuot-PVÄ'!B483)</f>
        <v>1848</v>
      </c>
      <c r="AD483" s="224">
        <f t="shared" si="133"/>
        <v>108</v>
      </c>
      <c r="AE483" s="224">
        <f t="shared" si="134"/>
        <v>0</v>
      </c>
      <c r="AF483" s="224">
        <f t="shared" si="135"/>
        <v>174</v>
      </c>
      <c r="AG483" s="224">
        <f t="shared" si="136"/>
        <v>10.8</v>
      </c>
      <c r="AH483" s="257">
        <f t="shared" si="138"/>
        <v>0</v>
      </c>
      <c r="AI483" s="258">
        <f t="shared" si="139"/>
        <v>0</v>
      </c>
      <c r="AJ483" s="55">
        <f>SUMIFS('tuot-INFO'!W:W,'tuot-INFO'!$A:$A,'tuot-PVÄ'!B483)</f>
        <v>68.634</v>
      </c>
      <c r="AK483" s="55">
        <f>SUMIFS('tuot-INFO'!X:X,'tuot-INFO'!$A:$A,'tuot-PVÄ'!B483)</f>
        <v>7.3799999999999955</v>
      </c>
    </row>
    <row r="484" spans="1:37" x14ac:dyDescent="0.25">
      <c r="A484" s="169">
        <f t="shared" si="137"/>
        <v>42970</v>
      </c>
      <c r="B484" s="23">
        <f>ROUNDUP((A484-Yleistiedot!$B$4)/7,0)</f>
        <v>86</v>
      </c>
      <c r="C484" s="16"/>
      <c r="D484" s="25"/>
      <c r="E484" s="25"/>
      <c r="F484" s="25"/>
      <c r="G484" s="25"/>
      <c r="H484" s="25"/>
      <c r="I484" s="65">
        <f t="shared" si="132"/>
        <v>0</v>
      </c>
      <c r="J484" s="26"/>
      <c r="K484" s="25"/>
      <c r="L484" s="16"/>
      <c r="M484" s="16"/>
      <c r="N484" s="25"/>
      <c r="O484" s="30"/>
      <c r="P484" s="252">
        <f t="shared" si="144"/>
        <v>9990</v>
      </c>
      <c r="Q484" s="253">
        <f t="shared" si="145"/>
        <v>0</v>
      </c>
      <c r="R484" s="253">
        <f t="shared" si="146"/>
        <v>0</v>
      </c>
      <c r="S484" s="251">
        <f>SUMIFS('tuot-rehukirjanpito'!D:D,'tuot-rehukirjanpito'!A:A,A484)</f>
        <v>0</v>
      </c>
      <c r="T484" s="254">
        <f t="shared" si="140"/>
        <v>1098.9000000000001</v>
      </c>
      <c r="U484" s="254">
        <f t="shared" si="141"/>
        <v>1098.8999999999999</v>
      </c>
      <c r="V484" s="252">
        <f t="shared" si="142"/>
        <v>-529669.8000000047</v>
      </c>
      <c r="W484" s="255">
        <f t="shared" si="143"/>
        <v>-482.00000000000426</v>
      </c>
      <c r="X484" s="256" t="str">
        <f t="shared" si="147"/>
        <v/>
      </c>
      <c r="Y484" s="256" t="str">
        <f t="shared" si="148"/>
        <v/>
      </c>
      <c r="Z484" s="224" t="str">
        <f>IF(IFERROR(INDEX('tuot-rehukirjanpito'!I:I,MATCH(A484,'tuot-rehukirjanpito'!G:G,0)),)=0,"",INDEX('tuot-rehukirjanpito'!I:I,MATCH(A484,'tuot-rehukirjanpito'!G:G,0)))</f>
        <v/>
      </c>
      <c r="AA484" s="224">
        <f>SUMIFS('tuot-INFO'!$K$10:$K$115,'tuot-INFO'!$A$10:$A$115,'tuot-PVÄ'!B484)</f>
        <v>66.2</v>
      </c>
      <c r="AB484" s="224">
        <f>SUMIFS('rehu-vesi-INFO'!$R:$R,'rehu-vesi-INFO'!$A:$A,'tuot-PVÄ'!B484)</f>
        <v>1740</v>
      </c>
      <c r="AC484" s="224">
        <f>SUMIFS('rehu-vesi-INFO'!$S:$S,'rehu-vesi-INFO'!$A:$A,'tuot-PVÄ'!B484)</f>
        <v>1848</v>
      </c>
      <c r="AD484" s="224">
        <f t="shared" si="133"/>
        <v>108</v>
      </c>
      <c r="AE484" s="224">
        <f t="shared" si="134"/>
        <v>0</v>
      </c>
      <c r="AF484" s="224">
        <f t="shared" si="135"/>
        <v>174</v>
      </c>
      <c r="AG484" s="224">
        <f t="shared" si="136"/>
        <v>10.8</v>
      </c>
      <c r="AH484" s="257">
        <f t="shared" si="138"/>
        <v>0</v>
      </c>
      <c r="AI484" s="258">
        <f t="shared" si="139"/>
        <v>0</v>
      </c>
      <c r="AJ484" s="55">
        <f>SUMIFS('tuot-INFO'!W:W,'tuot-INFO'!$A:$A,'tuot-PVÄ'!B484)</f>
        <v>68.634</v>
      </c>
      <c r="AK484" s="55">
        <f>SUMIFS('tuot-INFO'!X:X,'tuot-INFO'!$A:$A,'tuot-PVÄ'!B484)</f>
        <v>7.3799999999999955</v>
      </c>
    </row>
    <row r="485" spans="1:37" x14ac:dyDescent="0.25">
      <c r="A485" s="169">
        <f t="shared" si="137"/>
        <v>42971</v>
      </c>
      <c r="B485" s="23">
        <f>ROUNDUP((A485-Yleistiedot!$B$4)/7,0)</f>
        <v>86</v>
      </c>
      <c r="C485" s="16"/>
      <c r="D485" s="25"/>
      <c r="E485" s="25"/>
      <c r="F485" s="25"/>
      <c r="G485" s="25"/>
      <c r="H485" s="25"/>
      <c r="I485" s="65">
        <f t="shared" si="132"/>
        <v>0</v>
      </c>
      <c r="J485" s="26"/>
      <c r="K485" s="25"/>
      <c r="L485" s="16"/>
      <c r="M485" s="16"/>
      <c r="N485" s="25"/>
      <c r="O485" s="30"/>
      <c r="P485" s="252">
        <f t="shared" si="144"/>
        <v>9990</v>
      </c>
      <c r="Q485" s="253">
        <f t="shared" si="145"/>
        <v>0</v>
      </c>
      <c r="R485" s="253">
        <f t="shared" si="146"/>
        <v>0</v>
      </c>
      <c r="S485" s="251">
        <f>SUMIFS('tuot-rehukirjanpito'!D:D,'tuot-rehukirjanpito'!A:A,A485)</f>
        <v>0</v>
      </c>
      <c r="T485" s="254">
        <f t="shared" si="140"/>
        <v>1098.9000000000001</v>
      </c>
      <c r="U485" s="254">
        <f t="shared" si="141"/>
        <v>1098.8999999999999</v>
      </c>
      <c r="V485" s="252">
        <f t="shared" si="142"/>
        <v>-530768.70000000473</v>
      </c>
      <c r="W485" s="255">
        <f t="shared" si="143"/>
        <v>-483.00000000000426</v>
      </c>
      <c r="X485" s="256" t="str">
        <f t="shared" si="147"/>
        <v/>
      </c>
      <c r="Y485" s="256" t="str">
        <f t="shared" si="148"/>
        <v/>
      </c>
      <c r="Z485" s="224" t="str">
        <f>IF(IFERROR(INDEX('tuot-rehukirjanpito'!I:I,MATCH(A485,'tuot-rehukirjanpito'!G:G,0)),)=0,"",INDEX('tuot-rehukirjanpito'!I:I,MATCH(A485,'tuot-rehukirjanpito'!G:G,0)))</f>
        <v/>
      </c>
      <c r="AA485" s="224">
        <f>SUMIFS('tuot-INFO'!$K$10:$K$115,'tuot-INFO'!$A$10:$A$115,'tuot-PVÄ'!B485)</f>
        <v>66.2</v>
      </c>
      <c r="AB485" s="224">
        <f>SUMIFS('rehu-vesi-INFO'!$R:$R,'rehu-vesi-INFO'!$A:$A,'tuot-PVÄ'!B485)</f>
        <v>1740</v>
      </c>
      <c r="AC485" s="224">
        <f>SUMIFS('rehu-vesi-INFO'!$S:$S,'rehu-vesi-INFO'!$A:$A,'tuot-PVÄ'!B485)</f>
        <v>1848</v>
      </c>
      <c r="AD485" s="224">
        <f t="shared" si="133"/>
        <v>108</v>
      </c>
      <c r="AE485" s="224">
        <f t="shared" si="134"/>
        <v>0</v>
      </c>
      <c r="AF485" s="224">
        <f t="shared" si="135"/>
        <v>174</v>
      </c>
      <c r="AG485" s="224">
        <f t="shared" si="136"/>
        <v>10.8</v>
      </c>
      <c r="AH485" s="257">
        <f t="shared" si="138"/>
        <v>0</v>
      </c>
      <c r="AI485" s="258">
        <f t="shared" si="139"/>
        <v>0</v>
      </c>
      <c r="AJ485" s="55">
        <f>SUMIFS('tuot-INFO'!W:W,'tuot-INFO'!$A:$A,'tuot-PVÄ'!B485)</f>
        <v>68.634</v>
      </c>
      <c r="AK485" s="55">
        <f>SUMIFS('tuot-INFO'!X:X,'tuot-INFO'!$A:$A,'tuot-PVÄ'!B485)</f>
        <v>7.3799999999999955</v>
      </c>
    </row>
    <row r="486" spans="1:37" x14ac:dyDescent="0.25">
      <c r="A486" s="169">
        <f t="shared" si="137"/>
        <v>42972</v>
      </c>
      <c r="B486" s="23">
        <f>ROUNDUP((A486-Yleistiedot!$B$4)/7,0)</f>
        <v>86</v>
      </c>
      <c r="C486" s="16"/>
      <c r="D486" s="25"/>
      <c r="E486" s="25"/>
      <c r="F486" s="25"/>
      <c r="G486" s="25"/>
      <c r="H486" s="25"/>
      <c r="I486" s="65">
        <f t="shared" si="132"/>
        <v>0</v>
      </c>
      <c r="J486" s="26"/>
      <c r="K486" s="25"/>
      <c r="L486" s="16"/>
      <c r="M486" s="16"/>
      <c r="N486" s="25"/>
      <c r="O486" s="30"/>
      <c r="P486" s="252">
        <f t="shared" si="144"/>
        <v>9990</v>
      </c>
      <c r="Q486" s="253">
        <f t="shared" si="145"/>
        <v>0</v>
      </c>
      <c r="R486" s="253">
        <f t="shared" si="146"/>
        <v>0</v>
      </c>
      <c r="S486" s="251">
        <f>SUMIFS('tuot-rehukirjanpito'!D:D,'tuot-rehukirjanpito'!A:A,A486)</f>
        <v>0</v>
      </c>
      <c r="T486" s="254">
        <f t="shared" si="140"/>
        <v>1098.9000000000001</v>
      </c>
      <c r="U486" s="254">
        <f t="shared" si="141"/>
        <v>1098.8999999999999</v>
      </c>
      <c r="V486" s="252">
        <f t="shared" si="142"/>
        <v>-531867.60000000475</v>
      </c>
      <c r="W486" s="255">
        <f t="shared" si="143"/>
        <v>-484.00000000000426</v>
      </c>
      <c r="X486" s="256" t="str">
        <f t="shared" si="147"/>
        <v/>
      </c>
      <c r="Y486" s="256" t="str">
        <f t="shared" si="148"/>
        <v/>
      </c>
      <c r="Z486" s="224" t="str">
        <f>IF(IFERROR(INDEX('tuot-rehukirjanpito'!I:I,MATCH(A486,'tuot-rehukirjanpito'!G:G,0)),)=0,"",INDEX('tuot-rehukirjanpito'!I:I,MATCH(A486,'tuot-rehukirjanpito'!G:G,0)))</f>
        <v/>
      </c>
      <c r="AA486" s="224">
        <f>SUMIFS('tuot-INFO'!$K$10:$K$115,'tuot-INFO'!$A$10:$A$115,'tuot-PVÄ'!B486)</f>
        <v>66.2</v>
      </c>
      <c r="AB486" s="224">
        <f>SUMIFS('rehu-vesi-INFO'!$R:$R,'rehu-vesi-INFO'!$A:$A,'tuot-PVÄ'!B486)</f>
        <v>1740</v>
      </c>
      <c r="AC486" s="224">
        <f>SUMIFS('rehu-vesi-INFO'!$S:$S,'rehu-vesi-INFO'!$A:$A,'tuot-PVÄ'!B486)</f>
        <v>1848</v>
      </c>
      <c r="AD486" s="224">
        <f t="shared" si="133"/>
        <v>108</v>
      </c>
      <c r="AE486" s="224">
        <f t="shared" si="134"/>
        <v>0</v>
      </c>
      <c r="AF486" s="224">
        <f t="shared" si="135"/>
        <v>174</v>
      </c>
      <c r="AG486" s="224">
        <f t="shared" si="136"/>
        <v>10.8</v>
      </c>
      <c r="AH486" s="257">
        <f t="shared" si="138"/>
        <v>0</v>
      </c>
      <c r="AI486" s="258">
        <f t="shared" si="139"/>
        <v>0</v>
      </c>
      <c r="AJ486" s="55">
        <f>SUMIFS('tuot-INFO'!W:W,'tuot-INFO'!$A:$A,'tuot-PVÄ'!B486)</f>
        <v>68.634</v>
      </c>
      <c r="AK486" s="55">
        <f>SUMIFS('tuot-INFO'!X:X,'tuot-INFO'!$A:$A,'tuot-PVÄ'!B486)</f>
        <v>7.3799999999999955</v>
      </c>
    </row>
    <row r="487" spans="1:37" x14ac:dyDescent="0.25">
      <c r="A487" s="169">
        <f t="shared" si="137"/>
        <v>42973</v>
      </c>
      <c r="B487" s="23">
        <f>ROUNDUP((A487-Yleistiedot!$B$4)/7,0)</f>
        <v>87</v>
      </c>
      <c r="C487" s="16"/>
      <c r="D487" s="25"/>
      <c r="E487" s="25"/>
      <c r="F487" s="25"/>
      <c r="G487" s="25"/>
      <c r="H487" s="25"/>
      <c r="I487" s="65">
        <f t="shared" si="132"/>
        <v>0</v>
      </c>
      <c r="J487" s="26"/>
      <c r="K487" s="25"/>
      <c r="L487" s="16"/>
      <c r="M487" s="16"/>
      <c r="N487" s="25"/>
      <c r="O487" s="30"/>
      <c r="P487" s="252">
        <f t="shared" si="144"/>
        <v>9990</v>
      </c>
      <c r="Q487" s="253">
        <f t="shared" si="145"/>
        <v>0</v>
      </c>
      <c r="R487" s="253">
        <f t="shared" si="146"/>
        <v>0</v>
      </c>
      <c r="S487" s="251">
        <f>SUMIFS('tuot-rehukirjanpito'!D:D,'tuot-rehukirjanpito'!A:A,A487)</f>
        <v>0</v>
      </c>
      <c r="T487" s="254">
        <f t="shared" si="140"/>
        <v>1098.9000000000001</v>
      </c>
      <c r="U487" s="254">
        <f t="shared" si="141"/>
        <v>1098.8999999999999</v>
      </c>
      <c r="V487" s="252">
        <f t="shared" si="142"/>
        <v>-532966.50000000477</v>
      </c>
      <c r="W487" s="255">
        <f t="shared" si="143"/>
        <v>-485.00000000000432</v>
      </c>
      <c r="X487" s="256" t="str">
        <f t="shared" si="147"/>
        <v/>
      </c>
      <c r="Y487" s="256" t="str">
        <f t="shared" si="148"/>
        <v/>
      </c>
      <c r="Z487" s="224" t="str">
        <f>IF(IFERROR(INDEX('tuot-rehukirjanpito'!I:I,MATCH(A487,'tuot-rehukirjanpito'!G:G,0)),)=0,"",INDEX('tuot-rehukirjanpito'!I:I,MATCH(A487,'tuot-rehukirjanpito'!G:G,0)))</f>
        <v/>
      </c>
      <c r="AA487" s="224">
        <f>SUMIFS('tuot-INFO'!$K$10:$K$115,'tuot-INFO'!$A$10:$A$115,'tuot-PVÄ'!B487)</f>
        <v>66.2</v>
      </c>
      <c r="AB487" s="224">
        <f>SUMIFS('rehu-vesi-INFO'!$R:$R,'rehu-vesi-INFO'!$A:$A,'tuot-PVÄ'!B487)</f>
        <v>1741</v>
      </c>
      <c r="AC487" s="224">
        <f>SUMIFS('rehu-vesi-INFO'!$S:$S,'rehu-vesi-INFO'!$A:$A,'tuot-PVÄ'!B487)</f>
        <v>1849</v>
      </c>
      <c r="AD487" s="224">
        <f t="shared" si="133"/>
        <v>108</v>
      </c>
      <c r="AE487" s="224">
        <f t="shared" si="134"/>
        <v>0</v>
      </c>
      <c r="AF487" s="224">
        <f t="shared" si="135"/>
        <v>174.1</v>
      </c>
      <c r="AG487" s="224">
        <f t="shared" si="136"/>
        <v>10.8</v>
      </c>
      <c r="AH487" s="257">
        <f t="shared" si="138"/>
        <v>0</v>
      </c>
      <c r="AI487" s="258">
        <f t="shared" si="139"/>
        <v>0</v>
      </c>
      <c r="AJ487" s="55">
        <f>SUMIFS('tuot-INFO'!W:W,'tuot-INFO'!$A:$A,'tuot-PVÄ'!B487)</f>
        <v>67.98299999999999</v>
      </c>
      <c r="AK487" s="55">
        <f>SUMIFS('tuot-INFO'!X:X,'tuot-INFO'!$A:$A,'tuot-PVÄ'!B487)</f>
        <v>7.3100000000000023</v>
      </c>
    </row>
    <row r="488" spans="1:37" x14ac:dyDescent="0.25">
      <c r="A488" s="169">
        <f t="shared" si="137"/>
        <v>42974</v>
      </c>
      <c r="B488" s="23">
        <f>ROUNDUP((A488-Yleistiedot!$B$4)/7,0)</f>
        <v>87</v>
      </c>
      <c r="C488" s="16"/>
      <c r="D488" s="25"/>
      <c r="E488" s="25"/>
      <c r="F488" s="25"/>
      <c r="G488" s="25"/>
      <c r="H488" s="25"/>
      <c r="I488" s="65">
        <f t="shared" si="132"/>
        <v>0</v>
      </c>
      <c r="J488" s="26"/>
      <c r="K488" s="25"/>
      <c r="L488" s="16"/>
      <c r="M488" s="16"/>
      <c r="N488" s="25"/>
      <c r="O488" s="30"/>
      <c r="P488" s="252">
        <f t="shared" si="144"/>
        <v>9990</v>
      </c>
      <c r="Q488" s="253">
        <f t="shared" si="145"/>
        <v>0</v>
      </c>
      <c r="R488" s="253">
        <f t="shared" si="146"/>
        <v>0</v>
      </c>
      <c r="S488" s="251">
        <f>SUMIFS('tuot-rehukirjanpito'!D:D,'tuot-rehukirjanpito'!A:A,A488)</f>
        <v>0</v>
      </c>
      <c r="T488" s="254">
        <f t="shared" si="140"/>
        <v>1098.9000000000001</v>
      </c>
      <c r="U488" s="254">
        <f t="shared" si="141"/>
        <v>1098.8999999999999</v>
      </c>
      <c r="V488" s="252">
        <f t="shared" si="142"/>
        <v>-534065.4000000048</v>
      </c>
      <c r="W488" s="255">
        <f t="shared" si="143"/>
        <v>-486.00000000000432</v>
      </c>
      <c r="X488" s="256" t="str">
        <f t="shared" si="147"/>
        <v/>
      </c>
      <c r="Y488" s="256" t="str">
        <f t="shared" si="148"/>
        <v/>
      </c>
      <c r="Z488" s="224" t="str">
        <f>IF(IFERROR(INDEX('tuot-rehukirjanpito'!I:I,MATCH(A488,'tuot-rehukirjanpito'!G:G,0)),)=0,"",INDEX('tuot-rehukirjanpito'!I:I,MATCH(A488,'tuot-rehukirjanpito'!G:G,0)))</f>
        <v/>
      </c>
      <c r="AA488" s="224">
        <f>SUMIFS('tuot-INFO'!$K$10:$K$115,'tuot-INFO'!$A$10:$A$115,'tuot-PVÄ'!B488)</f>
        <v>66.2</v>
      </c>
      <c r="AB488" s="224">
        <f>SUMIFS('rehu-vesi-INFO'!$R:$R,'rehu-vesi-INFO'!$A:$A,'tuot-PVÄ'!B488)</f>
        <v>1741</v>
      </c>
      <c r="AC488" s="224">
        <f>SUMIFS('rehu-vesi-INFO'!$S:$S,'rehu-vesi-INFO'!$A:$A,'tuot-PVÄ'!B488)</f>
        <v>1849</v>
      </c>
      <c r="AD488" s="224">
        <f t="shared" si="133"/>
        <v>108</v>
      </c>
      <c r="AE488" s="224">
        <f t="shared" si="134"/>
        <v>0</v>
      </c>
      <c r="AF488" s="224">
        <f t="shared" si="135"/>
        <v>174.1</v>
      </c>
      <c r="AG488" s="224">
        <f t="shared" si="136"/>
        <v>10.8</v>
      </c>
      <c r="AH488" s="257">
        <f t="shared" si="138"/>
        <v>0</v>
      </c>
      <c r="AI488" s="258">
        <f t="shared" si="139"/>
        <v>0</v>
      </c>
      <c r="AJ488" s="55">
        <f>SUMIFS('tuot-INFO'!W:W,'tuot-INFO'!$A:$A,'tuot-PVÄ'!B488)</f>
        <v>67.98299999999999</v>
      </c>
      <c r="AK488" s="55">
        <f>SUMIFS('tuot-INFO'!X:X,'tuot-INFO'!$A:$A,'tuot-PVÄ'!B488)</f>
        <v>7.3100000000000023</v>
      </c>
    </row>
    <row r="489" spans="1:37" x14ac:dyDescent="0.25">
      <c r="A489" s="169">
        <f t="shared" si="137"/>
        <v>42975</v>
      </c>
      <c r="B489" s="23">
        <f>ROUNDUP((A489-Yleistiedot!$B$4)/7,0)</f>
        <v>87</v>
      </c>
      <c r="C489" s="16"/>
      <c r="D489" s="25"/>
      <c r="E489" s="25"/>
      <c r="F489" s="25"/>
      <c r="G489" s="25"/>
      <c r="H489" s="25"/>
      <c r="I489" s="65">
        <f t="shared" si="132"/>
        <v>0</v>
      </c>
      <c r="J489" s="26"/>
      <c r="K489" s="25"/>
      <c r="L489" s="16"/>
      <c r="M489" s="16"/>
      <c r="N489" s="25"/>
      <c r="O489" s="30"/>
      <c r="P489" s="252">
        <f t="shared" si="144"/>
        <v>9990</v>
      </c>
      <c r="Q489" s="253">
        <f t="shared" si="145"/>
        <v>0</v>
      </c>
      <c r="R489" s="253">
        <f t="shared" si="146"/>
        <v>0</v>
      </c>
      <c r="S489" s="251">
        <f>SUMIFS('tuot-rehukirjanpito'!D:D,'tuot-rehukirjanpito'!A:A,A489)</f>
        <v>0</v>
      </c>
      <c r="T489" s="254">
        <f t="shared" si="140"/>
        <v>1098.9000000000001</v>
      </c>
      <c r="U489" s="254">
        <f t="shared" si="141"/>
        <v>1098.8999999999999</v>
      </c>
      <c r="V489" s="252">
        <f t="shared" si="142"/>
        <v>-535164.30000000482</v>
      </c>
      <c r="W489" s="255">
        <f t="shared" si="143"/>
        <v>-487.00000000000432</v>
      </c>
      <c r="X489" s="256" t="str">
        <f t="shared" si="147"/>
        <v/>
      </c>
      <c r="Y489" s="256" t="str">
        <f t="shared" si="148"/>
        <v/>
      </c>
      <c r="Z489" s="224" t="str">
        <f>IF(IFERROR(INDEX('tuot-rehukirjanpito'!I:I,MATCH(A489,'tuot-rehukirjanpito'!G:G,0)),)=0,"",INDEX('tuot-rehukirjanpito'!I:I,MATCH(A489,'tuot-rehukirjanpito'!G:G,0)))</f>
        <v/>
      </c>
      <c r="AA489" s="224">
        <f>SUMIFS('tuot-INFO'!$K$10:$K$115,'tuot-INFO'!$A$10:$A$115,'tuot-PVÄ'!B489)</f>
        <v>66.2</v>
      </c>
      <c r="AB489" s="224">
        <f>SUMIFS('rehu-vesi-INFO'!$R:$R,'rehu-vesi-INFO'!$A:$A,'tuot-PVÄ'!B489)</f>
        <v>1741</v>
      </c>
      <c r="AC489" s="224">
        <f>SUMIFS('rehu-vesi-INFO'!$S:$S,'rehu-vesi-INFO'!$A:$A,'tuot-PVÄ'!B489)</f>
        <v>1849</v>
      </c>
      <c r="AD489" s="224">
        <f t="shared" si="133"/>
        <v>108</v>
      </c>
      <c r="AE489" s="224">
        <f t="shared" si="134"/>
        <v>0</v>
      </c>
      <c r="AF489" s="224">
        <f t="shared" si="135"/>
        <v>174.1</v>
      </c>
      <c r="AG489" s="224">
        <f t="shared" si="136"/>
        <v>10.8</v>
      </c>
      <c r="AH489" s="257">
        <f t="shared" si="138"/>
        <v>0</v>
      </c>
      <c r="AI489" s="258">
        <f t="shared" si="139"/>
        <v>0</v>
      </c>
      <c r="AJ489" s="55">
        <f>SUMIFS('tuot-INFO'!W:W,'tuot-INFO'!$A:$A,'tuot-PVÄ'!B489)</f>
        <v>67.98299999999999</v>
      </c>
      <c r="AK489" s="55">
        <f>SUMIFS('tuot-INFO'!X:X,'tuot-INFO'!$A:$A,'tuot-PVÄ'!B489)</f>
        <v>7.3100000000000023</v>
      </c>
    </row>
    <row r="490" spans="1:37" x14ac:dyDescent="0.25">
      <c r="A490" s="169">
        <f t="shared" si="137"/>
        <v>42976</v>
      </c>
      <c r="B490" s="23">
        <f>ROUNDUP((A490-Yleistiedot!$B$4)/7,0)</f>
        <v>87</v>
      </c>
      <c r="C490" s="16"/>
      <c r="D490" s="25"/>
      <c r="E490" s="25"/>
      <c r="F490" s="25"/>
      <c r="G490" s="25"/>
      <c r="H490" s="25"/>
      <c r="I490" s="65">
        <f t="shared" si="132"/>
        <v>0</v>
      </c>
      <c r="J490" s="26"/>
      <c r="K490" s="25"/>
      <c r="L490" s="16"/>
      <c r="M490" s="16"/>
      <c r="N490" s="25"/>
      <c r="O490" s="30"/>
      <c r="P490" s="252">
        <f t="shared" si="144"/>
        <v>9990</v>
      </c>
      <c r="Q490" s="253">
        <f t="shared" si="145"/>
        <v>0</v>
      </c>
      <c r="R490" s="253">
        <f t="shared" si="146"/>
        <v>0</v>
      </c>
      <c r="S490" s="251">
        <f>SUMIFS('tuot-rehukirjanpito'!D:D,'tuot-rehukirjanpito'!A:A,A490)</f>
        <v>0</v>
      </c>
      <c r="T490" s="254">
        <f t="shared" si="140"/>
        <v>1098.9000000000001</v>
      </c>
      <c r="U490" s="254">
        <f t="shared" si="141"/>
        <v>1098.8999999999999</v>
      </c>
      <c r="V490" s="252">
        <f t="shared" si="142"/>
        <v>-536263.20000000484</v>
      </c>
      <c r="W490" s="255">
        <f t="shared" si="143"/>
        <v>-488.00000000000438</v>
      </c>
      <c r="X490" s="256" t="str">
        <f t="shared" si="147"/>
        <v/>
      </c>
      <c r="Y490" s="256" t="str">
        <f t="shared" si="148"/>
        <v/>
      </c>
      <c r="Z490" s="224" t="str">
        <f>IF(IFERROR(INDEX('tuot-rehukirjanpito'!I:I,MATCH(A490,'tuot-rehukirjanpito'!G:G,0)),)=0,"",INDEX('tuot-rehukirjanpito'!I:I,MATCH(A490,'tuot-rehukirjanpito'!G:G,0)))</f>
        <v/>
      </c>
      <c r="AA490" s="224">
        <f>SUMIFS('tuot-INFO'!$K$10:$K$115,'tuot-INFO'!$A$10:$A$115,'tuot-PVÄ'!B490)</f>
        <v>66.2</v>
      </c>
      <c r="AB490" s="224">
        <f>SUMIFS('rehu-vesi-INFO'!$R:$R,'rehu-vesi-INFO'!$A:$A,'tuot-PVÄ'!B490)</f>
        <v>1741</v>
      </c>
      <c r="AC490" s="224">
        <f>SUMIFS('rehu-vesi-INFO'!$S:$S,'rehu-vesi-INFO'!$A:$A,'tuot-PVÄ'!B490)</f>
        <v>1849</v>
      </c>
      <c r="AD490" s="224">
        <f t="shared" si="133"/>
        <v>108</v>
      </c>
      <c r="AE490" s="224">
        <f t="shared" si="134"/>
        <v>0</v>
      </c>
      <c r="AF490" s="224">
        <f t="shared" si="135"/>
        <v>174.1</v>
      </c>
      <c r="AG490" s="224">
        <f t="shared" si="136"/>
        <v>10.8</v>
      </c>
      <c r="AH490" s="257">
        <f t="shared" si="138"/>
        <v>0</v>
      </c>
      <c r="AI490" s="258">
        <f t="shared" si="139"/>
        <v>0</v>
      </c>
      <c r="AJ490" s="55">
        <f>SUMIFS('tuot-INFO'!W:W,'tuot-INFO'!$A:$A,'tuot-PVÄ'!B490)</f>
        <v>67.98299999999999</v>
      </c>
      <c r="AK490" s="55">
        <f>SUMIFS('tuot-INFO'!X:X,'tuot-INFO'!$A:$A,'tuot-PVÄ'!B490)</f>
        <v>7.3100000000000023</v>
      </c>
    </row>
    <row r="491" spans="1:37" x14ac:dyDescent="0.25">
      <c r="A491" s="169">
        <f t="shared" si="137"/>
        <v>42977</v>
      </c>
      <c r="B491" s="23">
        <f>ROUNDUP((A491-Yleistiedot!$B$4)/7,0)</f>
        <v>87</v>
      </c>
      <c r="C491" s="16"/>
      <c r="D491" s="25"/>
      <c r="E491" s="25"/>
      <c r="F491" s="25"/>
      <c r="G491" s="25"/>
      <c r="H491" s="25"/>
      <c r="I491" s="65">
        <f t="shared" si="132"/>
        <v>0</v>
      </c>
      <c r="J491" s="26"/>
      <c r="K491" s="25"/>
      <c r="L491" s="16"/>
      <c r="M491" s="16"/>
      <c r="N491" s="25"/>
      <c r="O491" s="30"/>
      <c r="P491" s="252">
        <f t="shared" si="144"/>
        <v>9990</v>
      </c>
      <c r="Q491" s="253">
        <f t="shared" si="145"/>
        <v>0</v>
      </c>
      <c r="R491" s="253">
        <f t="shared" si="146"/>
        <v>0</v>
      </c>
      <c r="S491" s="251">
        <f>SUMIFS('tuot-rehukirjanpito'!D:D,'tuot-rehukirjanpito'!A:A,A491)</f>
        <v>0</v>
      </c>
      <c r="T491" s="254">
        <f t="shared" si="140"/>
        <v>1098.9000000000001</v>
      </c>
      <c r="U491" s="254">
        <f t="shared" si="141"/>
        <v>1098.8999999999999</v>
      </c>
      <c r="V491" s="252">
        <f t="shared" si="142"/>
        <v>-537362.10000000487</v>
      </c>
      <c r="W491" s="255">
        <f t="shared" si="143"/>
        <v>-489.00000000000438</v>
      </c>
      <c r="X491" s="256" t="str">
        <f t="shared" si="147"/>
        <v/>
      </c>
      <c r="Y491" s="256" t="str">
        <f t="shared" si="148"/>
        <v/>
      </c>
      <c r="Z491" s="224" t="str">
        <f>IF(IFERROR(INDEX('tuot-rehukirjanpito'!I:I,MATCH(A491,'tuot-rehukirjanpito'!G:G,0)),)=0,"",INDEX('tuot-rehukirjanpito'!I:I,MATCH(A491,'tuot-rehukirjanpito'!G:G,0)))</f>
        <v/>
      </c>
      <c r="AA491" s="224">
        <f>SUMIFS('tuot-INFO'!$K$10:$K$115,'tuot-INFO'!$A$10:$A$115,'tuot-PVÄ'!B491)</f>
        <v>66.2</v>
      </c>
      <c r="AB491" s="224">
        <f>SUMIFS('rehu-vesi-INFO'!$R:$R,'rehu-vesi-INFO'!$A:$A,'tuot-PVÄ'!B491)</f>
        <v>1741</v>
      </c>
      <c r="AC491" s="224">
        <f>SUMIFS('rehu-vesi-INFO'!$S:$S,'rehu-vesi-INFO'!$A:$A,'tuot-PVÄ'!B491)</f>
        <v>1849</v>
      </c>
      <c r="AD491" s="224">
        <f t="shared" si="133"/>
        <v>108</v>
      </c>
      <c r="AE491" s="224">
        <f t="shared" si="134"/>
        <v>0</v>
      </c>
      <c r="AF491" s="224">
        <f t="shared" si="135"/>
        <v>174.1</v>
      </c>
      <c r="AG491" s="224">
        <f t="shared" si="136"/>
        <v>10.8</v>
      </c>
      <c r="AH491" s="257">
        <f t="shared" si="138"/>
        <v>0</v>
      </c>
      <c r="AI491" s="258">
        <f t="shared" si="139"/>
        <v>0</v>
      </c>
      <c r="AJ491" s="55">
        <f>SUMIFS('tuot-INFO'!W:W,'tuot-INFO'!$A:$A,'tuot-PVÄ'!B491)</f>
        <v>67.98299999999999</v>
      </c>
      <c r="AK491" s="55">
        <f>SUMIFS('tuot-INFO'!X:X,'tuot-INFO'!$A:$A,'tuot-PVÄ'!B491)</f>
        <v>7.3100000000000023</v>
      </c>
    </row>
    <row r="492" spans="1:37" x14ac:dyDescent="0.25">
      <c r="A492" s="169">
        <f t="shared" si="137"/>
        <v>42978</v>
      </c>
      <c r="B492" s="23">
        <f>ROUNDUP((A492-Yleistiedot!$B$4)/7,0)</f>
        <v>87</v>
      </c>
      <c r="C492" s="16"/>
      <c r="D492" s="25"/>
      <c r="E492" s="25"/>
      <c r="F492" s="25"/>
      <c r="G492" s="25"/>
      <c r="H492" s="25"/>
      <c r="I492" s="65">
        <f t="shared" si="132"/>
        <v>0</v>
      </c>
      <c r="J492" s="26"/>
      <c r="K492" s="25"/>
      <c r="L492" s="16"/>
      <c r="M492" s="16"/>
      <c r="N492" s="25"/>
      <c r="O492" s="30"/>
      <c r="P492" s="252">
        <f t="shared" si="144"/>
        <v>9990</v>
      </c>
      <c r="Q492" s="253">
        <f t="shared" si="145"/>
        <v>0</v>
      </c>
      <c r="R492" s="253">
        <f t="shared" si="146"/>
        <v>0</v>
      </c>
      <c r="S492" s="251">
        <f>SUMIFS('tuot-rehukirjanpito'!D:D,'tuot-rehukirjanpito'!A:A,A492)</f>
        <v>0</v>
      </c>
      <c r="T492" s="254">
        <f t="shared" si="140"/>
        <v>1098.9000000000001</v>
      </c>
      <c r="U492" s="254">
        <f t="shared" si="141"/>
        <v>1098.8999999999999</v>
      </c>
      <c r="V492" s="252">
        <f t="shared" si="142"/>
        <v>-538461.00000000489</v>
      </c>
      <c r="W492" s="255">
        <f t="shared" si="143"/>
        <v>-490.00000000000443</v>
      </c>
      <c r="X492" s="256" t="str">
        <f t="shared" si="147"/>
        <v/>
      </c>
      <c r="Y492" s="256" t="str">
        <f t="shared" si="148"/>
        <v/>
      </c>
      <c r="Z492" s="224" t="str">
        <f>IF(IFERROR(INDEX('tuot-rehukirjanpito'!I:I,MATCH(A492,'tuot-rehukirjanpito'!G:G,0)),)=0,"",INDEX('tuot-rehukirjanpito'!I:I,MATCH(A492,'tuot-rehukirjanpito'!G:G,0)))</f>
        <v/>
      </c>
      <c r="AA492" s="224">
        <f>SUMIFS('tuot-INFO'!$K$10:$K$115,'tuot-INFO'!$A$10:$A$115,'tuot-PVÄ'!B492)</f>
        <v>66.2</v>
      </c>
      <c r="AB492" s="224">
        <f>SUMIFS('rehu-vesi-INFO'!$R:$R,'rehu-vesi-INFO'!$A:$A,'tuot-PVÄ'!B492)</f>
        <v>1741</v>
      </c>
      <c r="AC492" s="224">
        <f>SUMIFS('rehu-vesi-INFO'!$S:$S,'rehu-vesi-INFO'!$A:$A,'tuot-PVÄ'!B492)</f>
        <v>1849</v>
      </c>
      <c r="AD492" s="224">
        <f t="shared" si="133"/>
        <v>108</v>
      </c>
      <c r="AE492" s="224">
        <f t="shared" si="134"/>
        <v>0</v>
      </c>
      <c r="AF492" s="224">
        <f t="shared" si="135"/>
        <v>174.1</v>
      </c>
      <c r="AG492" s="224">
        <f t="shared" si="136"/>
        <v>10.8</v>
      </c>
      <c r="AH492" s="257">
        <f t="shared" si="138"/>
        <v>0</v>
      </c>
      <c r="AI492" s="258">
        <f t="shared" si="139"/>
        <v>0</v>
      </c>
      <c r="AJ492" s="55">
        <f>SUMIFS('tuot-INFO'!W:W,'tuot-INFO'!$A:$A,'tuot-PVÄ'!B492)</f>
        <v>67.98299999999999</v>
      </c>
      <c r="AK492" s="55">
        <f>SUMIFS('tuot-INFO'!X:X,'tuot-INFO'!$A:$A,'tuot-PVÄ'!B492)</f>
        <v>7.3100000000000023</v>
      </c>
    </row>
    <row r="493" spans="1:37" x14ac:dyDescent="0.25">
      <c r="A493" s="169">
        <f t="shared" si="137"/>
        <v>42979</v>
      </c>
      <c r="B493" s="23">
        <f>ROUNDUP((A493-Yleistiedot!$B$4)/7,0)</f>
        <v>87</v>
      </c>
      <c r="C493" s="16"/>
      <c r="D493" s="25"/>
      <c r="E493" s="25"/>
      <c r="F493" s="25"/>
      <c r="G493" s="25"/>
      <c r="H493" s="25"/>
      <c r="I493" s="65">
        <f t="shared" si="132"/>
        <v>0</v>
      </c>
      <c r="J493" s="26"/>
      <c r="K493" s="25"/>
      <c r="L493" s="16"/>
      <c r="M493" s="16"/>
      <c r="N493" s="25"/>
      <c r="O493" s="30"/>
      <c r="P493" s="252">
        <f t="shared" si="144"/>
        <v>9990</v>
      </c>
      <c r="Q493" s="253">
        <f t="shared" si="145"/>
        <v>0</v>
      </c>
      <c r="R493" s="253">
        <f t="shared" si="146"/>
        <v>0</v>
      </c>
      <c r="S493" s="251">
        <f>SUMIFS('tuot-rehukirjanpito'!D:D,'tuot-rehukirjanpito'!A:A,A493)</f>
        <v>0</v>
      </c>
      <c r="T493" s="254">
        <f t="shared" si="140"/>
        <v>1098.9000000000001</v>
      </c>
      <c r="U493" s="254">
        <f t="shared" si="141"/>
        <v>1098.8999999999999</v>
      </c>
      <c r="V493" s="252">
        <f t="shared" si="142"/>
        <v>-539559.90000000491</v>
      </c>
      <c r="W493" s="255">
        <f t="shared" si="143"/>
        <v>-491.00000000000443</v>
      </c>
      <c r="X493" s="256" t="str">
        <f t="shared" si="147"/>
        <v/>
      </c>
      <c r="Y493" s="256" t="str">
        <f t="shared" si="148"/>
        <v/>
      </c>
      <c r="Z493" s="224" t="str">
        <f>IF(IFERROR(INDEX('tuot-rehukirjanpito'!I:I,MATCH(A493,'tuot-rehukirjanpito'!G:G,0)),)=0,"",INDEX('tuot-rehukirjanpito'!I:I,MATCH(A493,'tuot-rehukirjanpito'!G:G,0)))</f>
        <v/>
      </c>
      <c r="AA493" s="224">
        <f>SUMIFS('tuot-INFO'!$K$10:$K$115,'tuot-INFO'!$A$10:$A$115,'tuot-PVÄ'!B493)</f>
        <v>66.2</v>
      </c>
      <c r="AB493" s="224">
        <f>SUMIFS('rehu-vesi-INFO'!$R:$R,'rehu-vesi-INFO'!$A:$A,'tuot-PVÄ'!B493)</f>
        <v>1741</v>
      </c>
      <c r="AC493" s="224">
        <f>SUMIFS('rehu-vesi-INFO'!$S:$S,'rehu-vesi-INFO'!$A:$A,'tuot-PVÄ'!B493)</f>
        <v>1849</v>
      </c>
      <c r="AD493" s="224">
        <f t="shared" si="133"/>
        <v>108</v>
      </c>
      <c r="AE493" s="224">
        <f t="shared" si="134"/>
        <v>0</v>
      </c>
      <c r="AF493" s="224">
        <f t="shared" si="135"/>
        <v>174.1</v>
      </c>
      <c r="AG493" s="224">
        <f t="shared" si="136"/>
        <v>10.8</v>
      </c>
      <c r="AH493" s="257">
        <f t="shared" si="138"/>
        <v>0</v>
      </c>
      <c r="AI493" s="258">
        <f t="shared" si="139"/>
        <v>0</v>
      </c>
      <c r="AJ493" s="55">
        <f>SUMIFS('tuot-INFO'!W:W,'tuot-INFO'!$A:$A,'tuot-PVÄ'!B493)</f>
        <v>67.98299999999999</v>
      </c>
      <c r="AK493" s="55">
        <f>SUMIFS('tuot-INFO'!X:X,'tuot-INFO'!$A:$A,'tuot-PVÄ'!B493)</f>
        <v>7.3100000000000023</v>
      </c>
    </row>
    <row r="494" spans="1:37" x14ac:dyDescent="0.25">
      <c r="A494" s="169">
        <f t="shared" si="137"/>
        <v>42980</v>
      </c>
      <c r="B494" s="23">
        <f>ROUNDUP((A494-Yleistiedot!$B$4)/7,0)</f>
        <v>88</v>
      </c>
      <c r="C494" s="16"/>
      <c r="D494" s="25"/>
      <c r="E494" s="25"/>
      <c r="F494" s="25"/>
      <c r="G494" s="25"/>
      <c r="H494" s="25"/>
      <c r="I494" s="65">
        <f t="shared" si="132"/>
        <v>0</v>
      </c>
      <c r="J494" s="26"/>
      <c r="K494" s="25"/>
      <c r="L494" s="16"/>
      <c r="M494" s="16"/>
      <c r="N494" s="25"/>
      <c r="O494" s="30"/>
      <c r="P494" s="252">
        <f t="shared" si="144"/>
        <v>9990</v>
      </c>
      <c r="Q494" s="253">
        <f t="shared" si="145"/>
        <v>0</v>
      </c>
      <c r="R494" s="253">
        <f t="shared" si="146"/>
        <v>0</v>
      </c>
      <c r="S494" s="251">
        <f>SUMIFS('tuot-rehukirjanpito'!D:D,'tuot-rehukirjanpito'!A:A,A494)</f>
        <v>0</v>
      </c>
      <c r="T494" s="254">
        <f t="shared" si="140"/>
        <v>1098.9000000000001</v>
      </c>
      <c r="U494" s="254">
        <f t="shared" si="141"/>
        <v>1098.8999999999999</v>
      </c>
      <c r="V494" s="252">
        <f t="shared" si="142"/>
        <v>-540658.80000000494</v>
      </c>
      <c r="W494" s="255">
        <f t="shared" si="143"/>
        <v>-492.00000000000443</v>
      </c>
      <c r="X494" s="256" t="str">
        <f t="shared" si="147"/>
        <v/>
      </c>
      <c r="Y494" s="256" t="str">
        <f t="shared" si="148"/>
        <v/>
      </c>
      <c r="Z494" s="224" t="str">
        <f>IF(IFERROR(INDEX('tuot-rehukirjanpito'!I:I,MATCH(A494,'tuot-rehukirjanpito'!G:G,0)),)=0,"",INDEX('tuot-rehukirjanpito'!I:I,MATCH(A494,'tuot-rehukirjanpito'!G:G,0)))</f>
        <v/>
      </c>
      <c r="AA494" s="224">
        <f>SUMIFS('tuot-INFO'!$K$10:$K$115,'tuot-INFO'!$A$10:$A$115,'tuot-PVÄ'!B494)</f>
        <v>66.2</v>
      </c>
      <c r="AB494" s="224">
        <f>SUMIFS('rehu-vesi-INFO'!$R:$R,'rehu-vesi-INFO'!$A:$A,'tuot-PVÄ'!B494)</f>
        <v>1742</v>
      </c>
      <c r="AC494" s="224">
        <f>SUMIFS('rehu-vesi-INFO'!$S:$S,'rehu-vesi-INFO'!$A:$A,'tuot-PVÄ'!B494)</f>
        <v>1849</v>
      </c>
      <c r="AD494" s="224">
        <f t="shared" si="133"/>
        <v>107</v>
      </c>
      <c r="AE494" s="224">
        <f t="shared" si="134"/>
        <v>0</v>
      </c>
      <c r="AF494" s="224">
        <f t="shared" si="135"/>
        <v>174.2</v>
      </c>
      <c r="AG494" s="224">
        <f t="shared" si="136"/>
        <v>10.7</v>
      </c>
      <c r="AH494" s="257">
        <f t="shared" si="138"/>
        <v>0</v>
      </c>
      <c r="AI494" s="258">
        <f t="shared" si="139"/>
        <v>0</v>
      </c>
      <c r="AJ494" s="55">
        <f>SUMIFS('tuot-INFO'!W:W,'tuot-INFO'!$A:$A,'tuot-PVÄ'!B494)</f>
        <v>67.332000000000008</v>
      </c>
      <c r="AK494" s="55">
        <f>SUMIFS('tuot-INFO'!X:X,'tuot-INFO'!$A:$A,'tuot-PVÄ'!B494)</f>
        <v>7.2399999999999949</v>
      </c>
    </row>
    <row r="495" spans="1:37" x14ac:dyDescent="0.25">
      <c r="A495" s="169">
        <f t="shared" si="137"/>
        <v>42981</v>
      </c>
      <c r="B495" s="23">
        <f>ROUNDUP((A495-Yleistiedot!$B$4)/7,0)</f>
        <v>88</v>
      </c>
      <c r="C495" s="16"/>
      <c r="D495" s="25"/>
      <c r="E495" s="25"/>
      <c r="F495" s="25"/>
      <c r="G495" s="25"/>
      <c r="H495" s="25"/>
      <c r="I495" s="65">
        <f t="shared" si="132"/>
        <v>0</v>
      </c>
      <c r="J495" s="26"/>
      <c r="K495" s="25"/>
      <c r="L495" s="16"/>
      <c r="M495" s="16"/>
      <c r="N495" s="25"/>
      <c r="O495" s="30"/>
      <c r="P495" s="252">
        <f t="shared" si="144"/>
        <v>9990</v>
      </c>
      <c r="Q495" s="253">
        <f t="shared" si="145"/>
        <v>0</v>
      </c>
      <c r="R495" s="253">
        <f t="shared" si="146"/>
        <v>0</v>
      </c>
      <c r="S495" s="251">
        <f>SUMIFS('tuot-rehukirjanpito'!D:D,'tuot-rehukirjanpito'!A:A,A495)</f>
        <v>0</v>
      </c>
      <c r="T495" s="254">
        <f t="shared" si="140"/>
        <v>1098.9000000000001</v>
      </c>
      <c r="U495" s="254">
        <f t="shared" si="141"/>
        <v>1098.8999999999999</v>
      </c>
      <c r="V495" s="252">
        <f t="shared" si="142"/>
        <v>-541757.70000000496</v>
      </c>
      <c r="W495" s="255">
        <f t="shared" si="143"/>
        <v>-493.00000000000449</v>
      </c>
      <c r="X495" s="256" t="str">
        <f t="shared" si="147"/>
        <v/>
      </c>
      <c r="Y495" s="256" t="str">
        <f t="shared" si="148"/>
        <v/>
      </c>
      <c r="Z495" s="224" t="str">
        <f>IF(IFERROR(INDEX('tuot-rehukirjanpito'!I:I,MATCH(A495,'tuot-rehukirjanpito'!G:G,0)),)=0,"",INDEX('tuot-rehukirjanpito'!I:I,MATCH(A495,'tuot-rehukirjanpito'!G:G,0)))</f>
        <v/>
      </c>
      <c r="AA495" s="224">
        <f>SUMIFS('tuot-INFO'!$K$10:$K$115,'tuot-INFO'!$A$10:$A$115,'tuot-PVÄ'!B495)</f>
        <v>66.2</v>
      </c>
      <c r="AB495" s="224">
        <f>SUMIFS('rehu-vesi-INFO'!$R:$R,'rehu-vesi-INFO'!$A:$A,'tuot-PVÄ'!B495)</f>
        <v>1742</v>
      </c>
      <c r="AC495" s="224">
        <f>SUMIFS('rehu-vesi-INFO'!$S:$S,'rehu-vesi-INFO'!$A:$A,'tuot-PVÄ'!B495)</f>
        <v>1849</v>
      </c>
      <c r="AD495" s="224">
        <f t="shared" si="133"/>
        <v>107</v>
      </c>
      <c r="AE495" s="224">
        <f t="shared" si="134"/>
        <v>0</v>
      </c>
      <c r="AF495" s="224">
        <f t="shared" si="135"/>
        <v>174.2</v>
      </c>
      <c r="AG495" s="224">
        <f t="shared" si="136"/>
        <v>10.7</v>
      </c>
      <c r="AH495" s="257">
        <f t="shared" si="138"/>
        <v>0</v>
      </c>
      <c r="AI495" s="258">
        <f t="shared" si="139"/>
        <v>0</v>
      </c>
      <c r="AJ495" s="55">
        <f>SUMIFS('tuot-INFO'!W:W,'tuot-INFO'!$A:$A,'tuot-PVÄ'!B495)</f>
        <v>67.332000000000008</v>
      </c>
      <c r="AK495" s="55">
        <f>SUMIFS('tuot-INFO'!X:X,'tuot-INFO'!$A:$A,'tuot-PVÄ'!B495)</f>
        <v>7.2399999999999949</v>
      </c>
    </row>
    <row r="496" spans="1:37" x14ac:dyDescent="0.25">
      <c r="A496" s="169">
        <f t="shared" si="137"/>
        <v>42982</v>
      </c>
      <c r="B496" s="23">
        <f>ROUNDUP((A496-Yleistiedot!$B$4)/7,0)</f>
        <v>88</v>
      </c>
      <c r="C496" s="16"/>
      <c r="D496" s="25"/>
      <c r="E496" s="25"/>
      <c r="F496" s="25"/>
      <c r="G496" s="25"/>
      <c r="H496" s="25"/>
      <c r="I496" s="65">
        <f t="shared" si="132"/>
        <v>0</v>
      </c>
      <c r="J496" s="26"/>
      <c r="K496" s="25"/>
      <c r="L496" s="16"/>
      <c r="M496" s="16"/>
      <c r="N496" s="25"/>
      <c r="O496" s="30"/>
      <c r="P496" s="252">
        <f t="shared" si="144"/>
        <v>9990</v>
      </c>
      <c r="Q496" s="253">
        <f t="shared" si="145"/>
        <v>0</v>
      </c>
      <c r="R496" s="253">
        <f t="shared" si="146"/>
        <v>0</v>
      </c>
      <c r="S496" s="251">
        <f>SUMIFS('tuot-rehukirjanpito'!D:D,'tuot-rehukirjanpito'!A:A,A496)</f>
        <v>0</v>
      </c>
      <c r="T496" s="254">
        <f t="shared" si="140"/>
        <v>1098.9000000000001</v>
      </c>
      <c r="U496" s="254">
        <f t="shared" si="141"/>
        <v>1098.8999999999999</v>
      </c>
      <c r="V496" s="252">
        <f t="shared" si="142"/>
        <v>-542856.60000000498</v>
      </c>
      <c r="W496" s="255">
        <f t="shared" si="143"/>
        <v>-494.00000000000449</v>
      </c>
      <c r="X496" s="256" t="str">
        <f t="shared" si="147"/>
        <v/>
      </c>
      <c r="Y496" s="256" t="str">
        <f t="shared" si="148"/>
        <v/>
      </c>
      <c r="Z496" s="224" t="str">
        <f>IF(IFERROR(INDEX('tuot-rehukirjanpito'!I:I,MATCH(A496,'tuot-rehukirjanpito'!G:G,0)),)=0,"",INDEX('tuot-rehukirjanpito'!I:I,MATCH(A496,'tuot-rehukirjanpito'!G:G,0)))</f>
        <v/>
      </c>
      <c r="AA496" s="224">
        <f>SUMIFS('tuot-INFO'!$K$10:$K$115,'tuot-INFO'!$A$10:$A$115,'tuot-PVÄ'!B496)</f>
        <v>66.2</v>
      </c>
      <c r="AB496" s="224">
        <f>SUMIFS('rehu-vesi-INFO'!$R:$R,'rehu-vesi-INFO'!$A:$A,'tuot-PVÄ'!B496)</f>
        <v>1742</v>
      </c>
      <c r="AC496" s="224">
        <f>SUMIFS('rehu-vesi-INFO'!$S:$S,'rehu-vesi-INFO'!$A:$A,'tuot-PVÄ'!B496)</f>
        <v>1849</v>
      </c>
      <c r="AD496" s="224">
        <f t="shared" si="133"/>
        <v>107</v>
      </c>
      <c r="AE496" s="224">
        <f t="shared" si="134"/>
        <v>0</v>
      </c>
      <c r="AF496" s="224">
        <f t="shared" si="135"/>
        <v>174.2</v>
      </c>
      <c r="AG496" s="224">
        <f t="shared" si="136"/>
        <v>10.7</v>
      </c>
      <c r="AH496" s="257">
        <f t="shared" si="138"/>
        <v>0</v>
      </c>
      <c r="AI496" s="258">
        <f t="shared" si="139"/>
        <v>0</v>
      </c>
      <c r="AJ496" s="55">
        <f>SUMIFS('tuot-INFO'!W:W,'tuot-INFO'!$A:$A,'tuot-PVÄ'!B496)</f>
        <v>67.332000000000008</v>
      </c>
      <c r="AK496" s="55">
        <f>SUMIFS('tuot-INFO'!X:X,'tuot-INFO'!$A:$A,'tuot-PVÄ'!B496)</f>
        <v>7.2399999999999949</v>
      </c>
    </row>
    <row r="497" spans="1:37" x14ac:dyDescent="0.25">
      <c r="A497" s="169">
        <f t="shared" si="137"/>
        <v>42983</v>
      </c>
      <c r="B497" s="23">
        <f>ROUNDUP((A497-Yleistiedot!$B$4)/7,0)</f>
        <v>88</v>
      </c>
      <c r="C497" s="16"/>
      <c r="D497" s="25"/>
      <c r="E497" s="25"/>
      <c r="F497" s="25"/>
      <c r="G497" s="25"/>
      <c r="H497" s="25"/>
      <c r="I497" s="65">
        <f t="shared" si="132"/>
        <v>0</v>
      </c>
      <c r="J497" s="26"/>
      <c r="K497" s="25"/>
      <c r="L497" s="16"/>
      <c r="M497" s="16"/>
      <c r="N497" s="25"/>
      <c r="O497" s="30"/>
      <c r="P497" s="252">
        <f t="shared" si="144"/>
        <v>9990</v>
      </c>
      <c r="Q497" s="253">
        <f t="shared" si="145"/>
        <v>0</v>
      </c>
      <c r="R497" s="253">
        <f t="shared" si="146"/>
        <v>0</v>
      </c>
      <c r="S497" s="251">
        <f>SUMIFS('tuot-rehukirjanpito'!D:D,'tuot-rehukirjanpito'!A:A,A497)</f>
        <v>0</v>
      </c>
      <c r="T497" s="254">
        <f t="shared" si="140"/>
        <v>1098.9000000000001</v>
      </c>
      <c r="U497" s="254">
        <f t="shared" si="141"/>
        <v>1098.8999999999999</v>
      </c>
      <c r="V497" s="252">
        <f t="shared" si="142"/>
        <v>-543955.50000000501</v>
      </c>
      <c r="W497" s="255">
        <f t="shared" si="143"/>
        <v>-495.00000000000449</v>
      </c>
      <c r="X497" s="256" t="str">
        <f t="shared" si="147"/>
        <v/>
      </c>
      <c r="Y497" s="256" t="str">
        <f t="shared" si="148"/>
        <v/>
      </c>
      <c r="Z497" s="224" t="str">
        <f>IF(IFERROR(INDEX('tuot-rehukirjanpito'!I:I,MATCH(A497,'tuot-rehukirjanpito'!G:G,0)),)=0,"",INDEX('tuot-rehukirjanpito'!I:I,MATCH(A497,'tuot-rehukirjanpito'!G:G,0)))</f>
        <v/>
      </c>
      <c r="AA497" s="224">
        <f>SUMIFS('tuot-INFO'!$K$10:$K$115,'tuot-INFO'!$A$10:$A$115,'tuot-PVÄ'!B497)</f>
        <v>66.2</v>
      </c>
      <c r="AB497" s="224">
        <f>SUMIFS('rehu-vesi-INFO'!$R:$R,'rehu-vesi-INFO'!$A:$A,'tuot-PVÄ'!B497)</f>
        <v>1742</v>
      </c>
      <c r="AC497" s="224">
        <f>SUMIFS('rehu-vesi-INFO'!$S:$S,'rehu-vesi-INFO'!$A:$A,'tuot-PVÄ'!B497)</f>
        <v>1849</v>
      </c>
      <c r="AD497" s="224">
        <f t="shared" si="133"/>
        <v>107</v>
      </c>
      <c r="AE497" s="224">
        <f t="shared" si="134"/>
        <v>0</v>
      </c>
      <c r="AF497" s="224">
        <f t="shared" si="135"/>
        <v>174.2</v>
      </c>
      <c r="AG497" s="224">
        <f t="shared" si="136"/>
        <v>10.7</v>
      </c>
      <c r="AH497" s="257">
        <f t="shared" si="138"/>
        <v>0</v>
      </c>
      <c r="AI497" s="258">
        <f t="shared" si="139"/>
        <v>0</v>
      </c>
      <c r="AJ497" s="55">
        <f>SUMIFS('tuot-INFO'!W:W,'tuot-INFO'!$A:$A,'tuot-PVÄ'!B497)</f>
        <v>67.332000000000008</v>
      </c>
      <c r="AK497" s="55">
        <f>SUMIFS('tuot-INFO'!X:X,'tuot-INFO'!$A:$A,'tuot-PVÄ'!B497)</f>
        <v>7.2399999999999949</v>
      </c>
    </row>
    <row r="498" spans="1:37" x14ac:dyDescent="0.25">
      <c r="A498" s="169">
        <f t="shared" si="137"/>
        <v>42984</v>
      </c>
      <c r="B498" s="23">
        <f>ROUNDUP((A498-Yleistiedot!$B$4)/7,0)</f>
        <v>88</v>
      </c>
      <c r="C498" s="16"/>
      <c r="D498" s="25"/>
      <c r="E498" s="25"/>
      <c r="F498" s="25"/>
      <c r="G498" s="25"/>
      <c r="H498" s="25"/>
      <c r="I498" s="65">
        <f t="shared" si="132"/>
        <v>0</v>
      </c>
      <c r="J498" s="26"/>
      <c r="K498" s="25"/>
      <c r="L498" s="16"/>
      <c r="M498" s="16"/>
      <c r="N498" s="25"/>
      <c r="O498" s="30"/>
      <c r="P498" s="252">
        <f t="shared" si="144"/>
        <v>9990</v>
      </c>
      <c r="Q498" s="253">
        <f t="shared" si="145"/>
        <v>0</v>
      </c>
      <c r="R498" s="253">
        <f t="shared" si="146"/>
        <v>0</v>
      </c>
      <c r="S498" s="251">
        <f>SUMIFS('tuot-rehukirjanpito'!D:D,'tuot-rehukirjanpito'!A:A,A498)</f>
        <v>0</v>
      </c>
      <c r="T498" s="254">
        <f t="shared" si="140"/>
        <v>1098.9000000000001</v>
      </c>
      <c r="U498" s="254">
        <f t="shared" si="141"/>
        <v>1098.8999999999999</v>
      </c>
      <c r="V498" s="252">
        <f t="shared" si="142"/>
        <v>-545054.40000000503</v>
      </c>
      <c r="W498" s="255">
        <f t="shared" si="143"/>
        <v>-496.00000000000455</v>
      </c>
      <c r="X498" s="256" t="str">
        <f t="shared" si="147"/>
        <v/>
      </c>
      <c r="Y498" s="256" t="str">
        <f t="shared" si="148"/>
        <v/>
      </c>
      <c r="Z498" s="224" t="str">
        <f>IF(IFERROR(INDEX('tuot-rehukirjanpito'!I:I,MATCH(A498,'tuot-rehukirjanpito'!G:G,0)),)=0,"",INDEX('tuot-rehukirjanpito'!I:I,MATCH(A498,'tuot-rehukirjanpito'!G:G,0)))</f>
        <v/>
      </c>
      <c r="AA498" s="224">
        <f>SUMIFS('tuot-INFO'!$K$10:$K$115,'tuot-INFO'!$A$10:$A$115,'tuot-PVÄ'!B498)</f>
        <v>66.2</v>
      </c>
      <c r="AB498" s="224">
        <f>SUMIFS('rehu-vesi-INFO'!$R:$R,'rehu-vesi-INFO'!$A:$A,'tuot-PVÄ'!B498)</f>
        <v>1742</v>
      </c>
      <c r="AC498" s="224">
        <f>SUMIFS('rehu-vesi-INFO'!$S:$S,'rehu-vesi-INFO'!$A:$A,'tuot-PVÄ'!B498)</f>
        <v>1849</v>
      </c>
      <c r="AD498" s="224">
        <f t="shared" si="133"/>
        <v>107</v>
      </c>
      <c r="AE498" s="224">
        <f t="shared" si="134"/>
        <v>0</v>
      </c>
      <c r="AF498" s="224">
        <f t="shared" si="135"/>
        <v>174.2</v>
      </c>
      <c r="AG498" s="224">
        <f t="shared" si="136"/>
        <v>10.7</v>
      </c>
      <c r="AH498" s="257">
        <f t="shared" si="138"/>
        <v>0</v>
      </c>
      <c r="AI498" s="258">
        <f t="shared" si="139"/>
        <v>0</v>
      </c>
      <c r="AJ498" s="55">
        <f>SUMIFS('tuot-INFO'!W:W,'tuot-INFO'!$A:$A,'tuot-PVÄ'!B498)</f>
        <v>67.332000000000008</v>
      </c>
      <c r="AK498" s="55">
        <f>SUMIFS('tuot-INFO'!X:X,'tuot-INFO'!$A:$A,'tuot-PVÄ'!B498)</f>
        <v>7.2399999999999949</v>
      </c>
    </row>
    <row r="499" spans="1:37" x14ac:dyDescent="0.25">
      <c r="A499" s="169">
        <f t="shared" si="137"/>
        <v>42985</v>
      </c>
      <c r="B499" s="23">
        <f>ROUNDUP((A499-Yleistiedot!$B$4)/7,0)</f>
        <v>88</v>
      </c>
      <c r="C499" s="16"/>
      <c r="D499" s="25"/>
      <c r="E499" s="25"/>
      <c r="F499" s="25"/>
      <c r="G499" s="25"/>
      <c r="H499" s="25"/>
      <c r="I499" s="65">
        <f t="shared" si="132"/>
        <v>0</v>
      </c>
      <c r="J499" s="26"/>
      <c r="K499" s="25"/>
      <c r="L499" s="16"/>
      <c r="M499" s="16"/>
      <c r="N499" s="25"/>
      <c r="O499" s="30"/>
      <c r="P499" s="252">
        <f t="shared" si="144"/>
        <v>9990</v>
      </c>
      <c r="Q499" s="253">
        <f t="shared" si="145"/>
        <v>0</v>
      </c>
      <c r="R499" s="253">
        <f t="shared" si="146"/>
        <v>0</v>
      </c>
      <c r="S499" s="251">
        <f>SUMIFS('tuot-rehukirjanpito'!D:D,'tuot-rehukirjanpito'!A:A,A499)</f>
        <v>0</v>
      </c>
      <c r="T499" s="254">
        <f t="shared" si="140"/>
        <v>1098.9000000000001</v>
      </c>
      <c r="U499" s="254">
        <f t="shared" si="141"/>
        <v>1098.8999999999999</v>
      </c>
      <c r="V499" s="252">
        <f t="shared" si="142"/>
        <v>-546153.30000000505</v>
      </c>
      <c r="W499" s="255">
        <f t="shared" si="143"/>
        <v>-497.00000000000455</v>
      </c>
      <c r="X499" s="256" t="str">
        <f t="shared" si="147"/>
        <v/>
      </c>
      <c r="Y499" s="256" t="str">
        <f t="shared" si="148"/>
        <v/>
      </c>
      <c r="Z499" s="224" t="str">
        <f>IF(IFERROR(INDEX('tuot-rehukirjanpito'!I:I,MATCH(A499,'tuot-rehukirjanpito'!G:G,0)),)=0,"",INDEX('tuot-rehukirjanpito'!I:I,MATCH(A499,'tuot-rehukirjanpito'!G:G,0)))</f>
        <v/>
      </c>
      <c r="AA499" s="224">
        <f>SUMIFS('tuot-INFO'!$K$10:$K$115,'tuot-INFO'!$A$10:$A$115,'tuot-PVÄ'!B499)</f>
        <v>66.2</v>
      </c>
      <c r="AB499" s="224">
        <f>SUMIFS('rehu-vesi-INFO'!$R:$R,'rehu-vesi-INFO'!$A:$A,'tuot-PVÄ'!B499)</f>
        <v>1742</v>
      </c>
      <c r="AC499" s="224">
        <f>SUMIFS('rehu-vesi-INFO'!$S:$S,'rehu-vesi-INFO'!$A:$A,'tuot-PVÄ'!B499)</f>
        <v>1849</v>
      </c>
      <c r="AD499" s="224">
        <f t="shared" si="133"/>
        <v>107</v>
      </c>
      <c r="AE499" s="224">
        <f t="shared" si="134"/>
        <v>0</v>
      </c>
      <c r="AF499" s="224">
        <f t="shared" si="135"/>
        <v>174.2</v>
      </c>
      <c r="AG499" s="224">
        <f t="shared" si="136"/>
        <v>10.7</v>
      </c>
      <c r="AH499" s="257">
        <f t="shared" si="138"/>
        <v>0</v>
      </c>
      <c r="AI499" s="258">
        <f t="shared" si="139"/>
        <v>0</v>
      </c>
      <c r="AJ499" s="55">
        <f>SUMIFS('tuot-INFO'!W:W,'tuot-INFO'!$A:$A,'tuot-PVÄ'!B499)</f>
        <v>67.332000000000008</v>
      </c>
      <c r="AK499" s="55">
        <f>SUMIFS('tuot-INFO'!X:X,'tuot-INFO'!$A:$A,'tuot-PVÄ'!B499)</f>
        <v>7.2399999999999949</v>
      </c>
    </row>
    <row r="500" spans="1:37" x14ac:dyDescent="0.25">
      <c r="A500" s="169">
        <f t="shared" si="137"/>
        <v>42986</v>
      </c>
      <c r="B500" s="23">
        <f>ROUNDUP((A500-Yleistiedot!$B$4)/7,0)</f>
        <v>88</v>
      </c>
      <c r="C500" s="16"/>
      <c r="D500" s="25"/>
      <c r="E500" s="25"/>
      <c r="F500" s="25"/>
      <c r="G500" s="25"/>
      <c r="H500" s="25"/>
      <c r="I500" s="65">
        <f t="shared" si="132"/>
        <v>0</v>
      </c>
      <c r="J500" s="26"/>
      <c r="K500" s="25"/>
      <c r="L500" s="16"/>
      <c r="M500" s="16"/>
      <c r="N500" s="25"/>
      <c r="O500" s="30"/>
      <c r="P500" s="252">
        <f t="shared" si="144"/>
        <v>9990</v>
      </c>
      <c r="Q500" s="253">
        <f t="shared" si="145"/>
        <v>0</v>
      </c>
      <c r="R500" s="253">
        <f t="shared" si="146"/>
        <v>0</v>
      </c>
      <c r="S500" s="251">
        <f>SUMIFS('tuot-rehukirjanpito'!D:D,'tuot-rehukirjanpito'!A:A,A500)</f>
        <v>0</v>
      </c>
      <c r="T500" s="254">
        <f t="shared" si="140"/>
        <v>1098.9000000000001</v>
      </c>
      <c r="U500" s="254">
        <f t="shared" si="141"/>
        <v>1098.8999999999999</v>
      </c>
      <c r="V500" s="252">
        <f t="shared" si="142"/>
        <v>-547252.20000000508</v>
      </c>
      <c r="W500" s="255">
        <f t="shared" si="143"/>
        <v>-498.0000000000046</v>
      </c>
      <c r="X500" s="256" t="str">
        <f t="shared" si="147"/>
        <v/>
      </c>
      <c r="Y500" s="256" t="str">
        <f t="shared" si="148"/>
        <v/>
      </c>
      <c r="Z500" s="224" t="str">
        <f>IF(IFERROR(INDEX('tuot-rehukirjanpito'!I:I,MATCH(A500,'tuot-rehukirjanpito'!G:G,0)),)=0,"",INDEX('tuot-rehukirjanpito'!I:I,MATCH(A500,'tuot-rehukirjanpito'!G:G,0)))</f>
        <v/>
      </c>
      <c r="AA500" s="224">
        <f>SUMIFS('tuot-INFO'!$K$10:$K$115,'tuot-INFO'!$A$10:$A$115,'tuot-PVÄ'!B500)</f>
        <v>66.2</v>
      </c>
      <c r="AB500" s="224">
        <f>SUMIFS('rehu-vesi-INFO'!$R:$R,'rehu-vesi-INFO'!$A:$A,'tuot-PVÄ'!B500)</f>
        <v>1742</v>
      </c>
      <c r="AC500" s="224">
        <f>SUMIFS('rehu-vesi-INFO'!$S:$S,'rehu-vesi-INFO'!$A:$A,'tuot-PVÄ'!B500)</f>
        <v>1849</v>
      </c>
      <c r="AD500" s="224">
        <f t="shared" si="133"/>
        <v>107</v>
      </c>
      <c r="AE500" s="224">
        <f t="shared" si="134"/>
        <v>0</v>
      </c>
      <c r="AF500" s="224">
        <f t="shared" si="135"/>
        <v>174.2</v>
      </c>
      <c r="AG500" s="224">
        <f t="shared" si="136"/>
        <v>10.7</v>
      </c>
      <c r="AH500" s="257">
        <f t="shared" si="138"/>
        <v>0</v>
      </c>
      <c r="AI500" s="258">
        <f t="shared" si="139"/>
        <v>0</v>
      </c>
      <c r="AJ500" s="55">
        <f>SUMIFS('tuot-INFO'!W:W,'tuot-INFO'!$A:$A,'tuot-PVÄ'!B500)</f>
        <v>67.332000000000008</v>
      </c>
      <c r="AK500" s="55">
        <f>SUMIFS('tuot-INFO'!X:X,'tuot-INFO'!$A:$A,'tuot-PVÄ'!B500)</f>
        <v>7.2399999999999949</v>
      </c>
    </row>
    <row r="501" spans="1:37" x14ac:dyDescent="0.25">
      <c r="A501" s="169">
        <f t="shared" si="137"/>
        <v>42987</v>
      </c>
      <c r="B501" s="23">
        <f>ROUNDUP((A501-Yleistiedot!$B$4)/7,0)</f>
        <v>89</v>
      </c>
      <c r="C501" s="16"/>
      <c r="D501" s="25"/>
      <c r="E501" s="25"/>
      <c r="F501" s="25"/>
      <c r="G501" s="25"/>
      <c r="H501" s="25"/>
      <c r="I501" s="65">
        <f t="shared" si="132"/>
        <v>0</v>
      </c>
      <c r="J501" s="26"/>
      <c r="K501" s="25"/>
      <c r="L501" s="16"/>
      <c r="M501" s="16"/>
      <c r="N501" s="25"/>
      <c r="O501" s="30"/>
      <c r="P501" s="252">
        <f t="shared" si="144"/>
        <v>9990</v>
      </c>
      <c r="Q501" s="253">
        <f t="shared" si="145"/>
        <v>0</v>
      </c>
      <c r="R501" s="253">
        <f t="shared" si="146"/>
        <v>0</v>
      </c>
      <c r="S501" s="251">
        <f>SUMIFS('tuot-rehukirjanpito'!D:D,'tuot-rehukirjanpito'!A:A,A501)</f>
        <v>0</v>
      </c>
      <c r="T501" s="254">
        <f t="shared" si="140"/>
        <v>1098.9000000000001</v>
      </c>
      <c r="U501" s="254">
        <f t="shared" si="141"/>
        <v>1098.8999999999999</v>
      </c>
      <c r="V501" s="252">
        <f t="shared" si="142"/>
        <v>-548351.1000000051</v>
      </c>
      <c r="W501" s="255">
        <f t="shared" si="143"/>
        <v>-499.0000000000046</v>
      </c>
      <c r="X501" s="256" t="str">
        <f t="shared" si="147"/>
        <v/>
      </c>
      <c r="Y501" s="256" t="str">
        <f t="shared" si="148"/>
        <v/>
      </c>
      <c r="Z501" s="224" t="str">
        <f>IF(IFERROR(INDEX('tuot-rehukirjanpito'!I:I,MATCH(A501,'tuot-rehukirjanpito'!G:G,0)),)=0,"",INDEX('tuot-rehukirjanpito'!I:I,MATCH(A501,'tuot-rehukirjanpito'!G:G,0)))</f>
        <v/>
      </c>
      <c r="AA501" s="224">
        <f>SUMIFS('tuot-INFO'!$K$10:$K$115,'tuot-INFO'!$A$10:$A$115,'tuot-PVÄ'!B501)</f>
        <v>66.3</v>
      </c>
      <c r="AB501" s="224">
        <f>SUMIFS('rehu-vesi-INFO'!$R:$R,'rehu-vesi-INFO'!$A:$A,'tuot-PVÄ'!B501)</f>
        <v>1742</v>
      </c>
      <c r="AC501" s="224">
        <f>SUMIFS('rehu-vesi-INFO'!$S:$S,'rehu-vesi-INFO'!$A:$A,'tuot-PVÄ'!B501)</f>
        <v>1850</v>
      </c>
      <c r="AD501" s="224">
        <f t="shared" si="133"/>
        <v>108</v>
      </c>
      <c r="AE501" s="224">
        <f t="shared" si="134"/>
        <v>0</v>
      </c>
      <c r="AF501" s="224">
        <f t="shared" si="135"/>
        <v>174.2</v>
      </c>
      <c r="AG501" s="224">
        <f t="shared" si="136"/>
        <v>10.8</v>
      </c>
      <c r="AH501" s="257">
        <f t="shared" si="138"/>
        <v>0</v>
      </c>
      <c r="AI501" s="258">
        <f t="shared" si="139"/>
        <v>0</v>
      </c>
      <c r="AJ501" s="55">
        <f>SUMIFS('tuot-INFO'!W:W,'tuot-INFO'!$A:$A,'tuot-PVÄ'!B501)</f>
        <v>66.774000000000001</v>
      </c>
      <c r="AK501" s="55">
        <f>SUMIFS('tuot-INFO'!X:X,'tuot-INFO'!$A:$A,'tuot-PVÄ'!B501)</f>
        <v>7.1799999999999926</v>
      </c>
    </row>
    <row r="502" spans="1:37" x14ac:dyDescent="0.25">
      <c r="A502" s="169">
        <f t="shared" si="137"/>
        <v>42988</v>
      </c>
      <c r="B502" s="23">
        <f>ROUNDUP((A502-Yleistiedot!$B$4)/7,0)</f>
        <v>89</v>
      </c>
      <c r="C502" s="16"/>
      <c r="D502" s="25"/>
      <c r="E502" s="25"/>
      <c r="F502" s="25"/>
      <c r="G502" s="25"/>
      <c r="H502" s="25"/>
      <c r="I502" s="65">
        <f t="shared" si="132"/>
        <v>0</v>
      </c>
      <c r="J502" s="26"/>
      <c r="K502" s="25"/>
      <c r="L502" s="16"/>
      <c r="M502" s="16"/>
      <c r="N502" s="25"/>
      <c r="O502" s="30"/>
      <c r="P502" s="252">
        <f t="shared" si="144"/>
        <v>9990</v>
      </c>
      <c r="Q502" s="253">
        <f t="shared" si="145"/>
        <v>0</v>
      </c>
      <c r="R502" s="253">
        <f t="shared" si="146"/>
        <v>0</v>
      </c>
      <c r="S502" s="251">
        <f>SUMIFS('tuot-rehukirjanpito'!D:D,'tuot-rehukirjanpito'!A:A,A502)</f>
        <v>0</v>
      </c>
      <c r="T502" s="254">
        <f t="shared" si="140"/>
        <v>1098.9000000000001</v>
      </c>
      <c r="U502" s="254">
        <f t="shared" si="141"/>
        <v>1098.8999999999999</v>
      </c>
      <c r="V502" s="252">
        <f t="shared" si="142"/>
        <v>-549450.00000000512</v>
      </c>
      <c r="W502" s="255">
        <f t="shared" si="143"/>
        <v>-500.0000000000046</v>
      </c>
      <c r="X502" s="256" t="str">
        <f t="shared" si="147"/>
        <v/>
      </c>
      <c r="Y502" s="256" t="str">
        <f t="shared" si="148"/>
        <v/>
      </c>
      <c r="Z502" s="224" t="str">
        <f>IF(IFERROR(INDEX('tuot-rehukirjanpito'!I:I,MATCH(A502,'tuot-rehukirjanpito'!G:G,0)),)=0,"",INDEX('tuot-rehukirjanpito'!I:I,MATCH(A502,'tuot-rehukirjanpito'!G:G,0)))</f>
        <v/>
      </c>
      <c r="AA502" s="224">
        <f>SUMIFS('tuot-INFO'!$K$10:$K$115,'tuot-INFO'!$A$10:$A$115,'tuot-PVÄ'!B502)</f>
        <v>66.3</v>
      </c>
      <c r="AB502" s="224">
        <f>SUMIFS('rehu-vesi-INFO'!$R:$R,'rehu-vesi-INFO'!$A:$A,'tuot-PVÄ'!B502)</f>
        <v>1742</v>
      </c>
      <c r="AC502" s="224">
        <f>SUMIFS('rehu-vesi-INFO'!$S:$S,'rehu-vesi-INFO'!$A:$A,'tuot-PVÄ'!B502)</f>
        <v>1850</v>
      </c>
      <c r="AD502" s="224">
        <f t="shared" si="133"/>
        <v>108</v>
      </c>
      <c r="AE502" s="224">
        <f t="shared" si="134"/>
        <v>0</v>
      </c>
      <c r="AF502" s="224">
        <f t="shared" si="135"/>
        <v>174.2</v>
      </c>
      <c r="AG502" s="224">
        <f t="shared" si="136"/>
        <v>10.8</v>
      </c>
      <c r="AH502" s="257">
        <f t="shared" si="138"/>
        <v>0</v>
      </c>
      <c r="AI502" s="258">
        <f t="shared" si="139"/>
        <v>0</v>
      </c>
      <c r="AJ502" s="55">
        <f>SUMIFS('tuot-INFO'!W:W,'tuot-INFO'!$A:$A,'tuot-PVÄ'!B502)</f>
        <v>66.774000000000001</v>
      </c>
      <c r="AK502" s="55">
        <f>SUMIFS('tuot-INFO'!X:X,'tuot-INFO'!$A:$A,'tuot-PVÄ'!B502)</f>
        <v>7.1799999999999926</v>
      </c>
    </row>
    <row r="503" spans="1:37" x14ac:dyDescent="0.25">
      <c r="A503" s="169">
        <f t="shared" si="137"/>
        <v>42989</v>
      </c>
      <c r="B503" s="23">
        <f>ROUNDUP((A503-Yleistiedot!$B$4)/7,0)</f>
        <v>89</v>
      </c>
      <c r="C503" s="16"/>
      <c r="D503" s="25"/>
      <c r="E503" s="25"/>
      <c r="F503" s="25"/>
      <c r="G503" s="25"/>
      <c r="H503" s="25"/>
      <c r="I503" s="65">
        <f t="shared" si="132"/>
        <v>0</v>
      </c>
      <c r="J503" s="26"/>
      <c r="K503" s="25"/>
      <c r="L503" s="16"/>
      <c r="M503" s="16"/>
      <c r="N503" s="25"/>
      <c r="O503" s="30"/>
      <c r="P503" s="252">
        <f t="shared" si="144"/>
        <v>9990</v>
      </c>
      <c r="Q503" s="253">
        <f t="shared" si="145"/>
        <v>0</v>
      </c>
      <c r="R503" s="253">
        <f t="shared" si="146"/>
        <v>0</v>
      </c>
      <c r="S503" s="251">
        <f>SUMIFS('tuot-rehukirjanpito'!D:D,'tuot-rehukirjanpito'!A:A,A503)</f>
        <v>0</v>
      </c>
      <c r="T503" s="254">
        <f t="shared" si="140"/>
        <v>1098.9000000000001</v>
      </c>
      <c r="U503" s="254">
        <f t="shared" si="141"/>
        <v>1098.8999999999999</v>
      </c>
      <c r="V503" s="252">
        <f t="shared" si="142"/>
        <v>-550548.90000000515</v>
      </c>
      <c r="W503" s="255">
        <f t="shared" si="143"/>
        <v>-501.00000000000466</v>
      </c>
      <c r="X503" s="256" t="str">
        <f t="shared" si="147"/>
        <v/>
      </c>
      <c r="Y503" s="256" t="str">
        <f t="shared" si="148"/>
        <v/>
      </c>
      <c r="Z503" s="224" t="str">
        <f>IF(IFERROR(INDEX('tuot-rehukirjanpito'!I:I,MATCH(A503,'tuot-rehukirjanpito'!G:G,0)),)=0,"",INDEX('tuot-rehukirjanpito'!I:I,MATCH(A503,'tuot-rehukirjanpito'!G:G,0)))</f>
        <v/>
      </c>
      <c r="AA503" s="224">
        <f>SUMIFS('tuot-INFO'!$K$10:$K$115,'tuot-INFO'!$A$10:$A$115,'tuot-PVÄ'!B503)</f>
        <v>66.3</v>
      </c>
      <c r="AB503" s="224">
        <f>SUMIFS('rehu-vesi-INFO'!$R:$R,'rehu-vesi-INFO'!$A:$A,'tuot-PVÄ'!B503)</f>
        <v>1742</v>
      </c>
      <c r="AC503" s="224">
        <f>SUMIFS('rehu-vesi-INFO'!$S:$S,'rehu-vesi-INFO'!$A:$A,'tuot-PVÄ'!B503)</f>
        <v>1850</v>
      </c>
      <c r="AD503" s="224">
        <f t="shared" si="133"/>
        <v>108</v>
      </c>
      <c r="AE503" s="224">
        <f t="shared" si="134"/>
        <v>0</v>
      </c>
      <c r="AF503" s="224">
        <f t="shared" si="135"/>
        <v>174.2</v>
      </c>
      <c r="AG503" s="224">
        <f t="shared" si="136"/>
        <v>10.8</v>
      </c>
      <c r="AH503" s="257">
        <f t="shared" si="138"/>
        <v>0</v>
      </c>
      <c r="AI503" s="258">
        <f t="shared" si="139"/>
        <v>0</v>
      </c>
      <c r="AJ503" s="55">
        <f>SUMIFS('tuot-INFO'!W:W,'tuot-INFO'!$A:$A,'tuot-PVÄ'!B503)</f>
        <v>66.774000000000001</v>
      </c>
      <c r="AK503" s="55">
        <f>SUMIFS('tuot-INFO'!X:X,'tuot-INFO'!$A:$A,'tuot-PVÄ'!B503)</f>
        <v>7.1799999999999926</v>
      </c>
    </row>
    <row r="504" spans="1:37" x14ac:dyDescent="0.25">
      <c r="A504" s="169">
        <f t="shared" si="137"/>
        <v>42990</v>
      </c>
      <c r="B504" s="23">
        <f>ROUNDUP((A504-Yleistiedot!$B$4)/7,0)</f>
        <v>89</v>
      </c>
      <c r="C504" s="16"/>
      <c r="D504" s="25"/>
      <c r="E504" s="25"/>
      <c r="F504" s="25"/>
      <c r="G504" s="25"/>
      <c r="H504" s="25"/>
      <c r="I504" s="65">
        <f t="shared" si="132"/>
        <v>0</v>
      </c>
      <c r="J504" s="26"/>
      <c r="K504" s="25"/>
      <c r="L504" s="16"/>
      <c r="M504" s="16"/>
      <c r="N504" s="25"/>
      <c r="O504" s="30"/>
      <c r="P504" s="252">
        <f t="shared" si="144"/>
        <v>9990</v>
      </c>
      <c r="Q504" s="253">
        <f t="shared" si="145"/>
        <v>0</v>
      </c>
      <c r="R504" s="253">
        <f t="shared" si="146"/>
        <v>0</v>
      </c>
      <c r="S504" s="251">
        <f>SUMIFS('tuot-rehukirjanpito'!D:D,'tuot-rehukirjanpito'!A:A,A504)</f>
        <v>0</v>
      </c>
      <c r="T504" s="254">
        <f t="shared" si="140"/>
        <v>1098.9000000000001</v>
      </c>
      <c r="U504" s="254">
        <f t="shared" si="141"/>
        <v>1098.8999999999999</v>
      </c>
      <c r="V504" s="252">
        <f t="shared" si="142"/>
        <v>-551647.80000000517</v>
      </c>
      <c r="W504" s="255">
        <f t="shared" si="143"/>
        <v>-502.00000000000466</v>
      </c>
      <c r="X504" s="256" t="str">
        <f t="shared" si="147"/>
        <v/>
      </c>
      <c r="Y504" s="256" t="str">
        <f t="shared" si="148"/>
        <v/>
      </c>
      <c r="Z504" s="224" t="str">
        <f>IF(IFERROR(INDEX('tuot-rehukirjanpito'!I:I,MATCH(A504,'tuot-rehukirjanpito'!G:G,0)),)=0,"",INDEX('tuot-rehukirjanpito'!I:I,MATCH(A504,'tuot-rehukirjanpito'!G:G,0)))</f>
        <v/>
      </c>
      <c r="AA504" s="224">
        <f>SUMIFS('tuot-INFO'!$K$10:$K$115,'tuot-INFO'!$A$10:$A$115,'tuot-PVÄ'!B504)</f>
        <v>66.3</v>
      </c>
      <c r="AB504" s="224">
        <f>SUMIFS('rehu-vesi-INFO'!$R:$R,'rehu-vesi-INFO'!$A:$A,'tuot-PVÄ'!B504)</f>
        <v>1742</v>
      </c>
      <c r="AC504" s="224">
        <f>SUMIFS('rehu-vesi-INFO'!$S:$S,'rehu-vesi-INFO'!$A:$A,'tuot-PVÄ'!B504)</f>
        <v>1850</v>
      </c>
      <c r="AD504" s="224">
        <f t="shared" si="133"/>
        <v>108</v>
      </c>
      <c r="AE504" s="224">
        <f t="shared" si="134"/>
        <v>0</v>
      </c>
      <c r="AF504" s="224">
        <f t="shared" si="135"/>
        <v>174.2</v>
      </c>
      <c r="AG504" s="224">
        <f t="shared" si="136"/>
        <v>10.8</v>
      </c>
      <c r="AH504" s="257">
        <f t="shared" si="138"/>
        <v>0</v>
      </c>
      <c r="AI504" s="258">
        <f t="shared" si="139"/>
        <v>0</v>
      </c>
      <c r="AJ504" s="55">
        <f>SUMIFS('tuot-INFO'!W:W,'tuot-INFO'!$A:$A,'tuot-PVÄ'!B504)</f>
        <v>66.774000000000001</v>
      </c>
      <c r="AK504" s="55">
        <f>SUMIFS('tuot-INFO'!X:X,'tuot-INFO'!$A:$A,'tuot-PVÄ'!B504)</f>
        <v>7.1799999999999926</v>
      </c>
    </row>
    <row r="505" spans="1:37" x14ac:dyDescent="0.25">
      <c r="A505" s="169">
        <f t="shared" si="137"/>
        <v>42991</v>
      </c>
      <c r="B505" s="23">
        <f>ROUNDUP((A505-Yleistiedot!$B$4)/7,0)</f>
        <v>89</v>
      </c>
      <c r="C505" s="16"/>
      <c r="D505" s="25"/>
      <c r="E505" s="25"/>
      <c r="F505" s="25"/>
      <c r="G505" s="25"/>
      <c r="H505" s="25"/>
      <c r="I505" s="65">
        <f t="shared" si="132"/>
        <v>0</v>
      </c>
      <c r="J505" s="26"/>
      <c r="K505" s="25"/>
      <c r="L505" s="16"/>
      <c r="M505" s="16"/>
      <c r="N505" s="25"/>
      <c r="O505" s="30"/>
      <c r="P505" s="252">
        <f t="shared" si="144"/>
        <v>9990</v>
      </c>
      <c r="Q505" s="253">
        <f t="shared" si="145"/>
        <v>0</v>
      </c>
      <c r="R505" s="253">
        <f t="shared" si="146"/>
        <v>0</v>
      </c>
      <c r="S505" s="251">
        <f>SUMIFS('tuot-rehukirjanpito'!D:D,'tuot-rehukirjanpito'!A:A,A505)</f>
        <v>0</v>
      </c>
      <c r="T505" s="254">
        <f t="shared" si="140"/>
        <v>1098.9000000000001</v>
      </c>
      <c r="U505" s="254">
        <f t="shared" si="141"/>
        <v>1098.8999999999999</v>
      </c>
      <c r="V505" s="252">
        <f t="shared" si="142"/>
        <v>-552746.70000000519</v>
      </c>
      <c r="W505" s="255">
        <f t="shared" si="143"/>
        <v>-503.00000000000466</v>
      </c>
      <c r="X505" s="256" t="str">
        <f t="shared" si="147"/>
        <v/>
      </c>
      <c r="Y505" s="256" t="str">
        <f t="shared" si="148"/>
        <v/>
      </c>
      <c r="Z505" s="224" t="str">
        <f>IF(IFERROR(INDEX('tuot-rehukirjanpito'!I:I,MATCH(A505,'tuot-rehukirjanpito'!G:G,0)),)=0,"",INDEX('tuot-rehukirjanpito'!I:I,MATCH(A505,'tuot-rehukirjanpito'!G:G,0)))</f>
        <v/>
      </c>
      <c r="AA505" s="224">
        <f>SUMIFS('tuot-INFO'!$K$10:$K$115,'tuot-INFO'!$A$10:$A$115,'tuot-PVÄ'!B505)</f>
        <v>66.3</v>
      </c>
      <c r="AB505" s="224">
        <f>SUMIFS('rehu-vesi-INFO'!$R:$R,'rehu-vesi-INFO'!$A:$A,'tuot-PVÄ'!B505)</f>
        <v>1742</v>
      </c>
      <c r="AC505" s="224">
        <f>SUMIFS('rehu-vesi-INFO'!$S:$S,'rehu-vesi-INFO'!$A:$A,'tuot-PVÄ'!B505)</f>
        <v>1850</v>
      </c>
      <c r="AD505" s="224">
        <f t="shared" si="133"/>
        <v>108</v>
      </c>
      <c r="AE505" s="224">
        <f t="shared" si="134"/>
        <v>0</v>
      </c>
      <c r="AF505" s="224">
        <f t="shared" si="135"/>
        <v>174.2</v>
      </c>
      <c r="AG505" s="224">
        <f t="shared" si="136"/>
        <v>10.8</v>
      </c>
      <c r="AH505" s="257">
        <f t="shared" si="138"/>
        <v>0</v>
      </c>
      <c r="AI505" s="258">
        <f t="shared" si="139"/>
        <v>0</v>
      </c>
      <c r="AJ505" s="55">
        <f>SUMIFS('tuot-INFO'!W:W,'tuot-INFO'!$A:$A,'tuot-PVÄ'!B505)</f>
        <v>66.774000000000001</v>
      </c>
      <c r="AK505" s="55">
        <f>SUMIFS('tuot-INFO'!X:X,'tuot-INFO'!$A:$A,'tuot-PVÄ'!B505)</f>
        <v>7.1799999999999926</v>
      </c>
    </row>
    <row r="506" spans="1:37" x14ac:dyDescent="0.25">
      <c r="A506" s="169">
        <f t="shared" si="137"/>
        <v>42992</v>
      </c>
      <c r="B506" s="23">
        <f>ROUNDUP((A506-Yleistiedot!$B$4)/7,0)</f>
        <v>89</v>
      </c>
      <c r="C506" s="16"/>
      <c r="D506" s="25"/>
      <c r="E506" s="25"/>
      <c r="F506" s="25"/>
      <c r="G506" s="25"/>
      <c r="H506" s="25"/>
      <c r="I506" s="65">
        <f t="shared" si="132"/>
        <v>0</v>
      </c>
      <c r="J506" s="26"/>
      <c r="K506" s="25"/>
      <c r="L506" s="16"/>
      <c r="M506" s="16"/>
      <c r="N506" s="25"/>
      <c r="O506" s="30"/>
      <c r="P506" s="252">
        <f t="shared" si="144"/>
        <v>9990</v>
      </c>
      <c r="Q506" s="253">
        <f t="shared" si="145"/>
        <v>0</v>
      </c>
      <c r="R506" s="253">
        <f t="shared" si="146"/>
        <v>0</v>
      </c>
      <c r="S506" s="251">
        <f>SUMIFS('tuot-rehukirjanpito'!D:D,'tuot-rehukirjanpito'!A:A,A506)</f>
        <v>0</v>
      </c>
      <c r="T506" s="254">
        <f t="shared" si="140"/>
        <v>1098.9000000000001</v>
      </c>
      <c r="U506" s="254">
        <f t="shared" si="141"/>
        <v>1098.8999999999999</v>
      </c>
      <c r="V506" s="252">
        <f t="shared" si="142"/>
        <v>-553845.60000000522</v>
      </c>
      <c r="W506" s="255">
        <f t="shared" si="143"/>
        <v>-504.00000000000472</v>
      </c>
      <c r="X506" s="256" t="str">
        <f t="shared" si="147"/>
        <v/>
      </c>
      <c r="Y506" s="256" t="str">
        <f t="shared" si="148"/>
        <v/>
      </c>
      <c r="Z506" s="224" t="str">
        <f>IF(IFERROR(INDEX('tuot-rehukirjanpito'!I:I,MATCH(A506,'tuot-rehukirjanpito'!G:G,0)),)=0,"",INDEX('tuot-rehukirjanpito'!I:I,MATCH(A506,'tuot-rehukirjanpito'!G:G,0)))</f>
        <v/>
      </c>
      <c r="AA506" s="224">
        <f>SUMIFS('tuot-INFO'!$K$10:$K$115,'tuot-INFO'!$A$10:$A$115,'tuot-PVÄ'!B506)</f>
        <v>66.3</v>
      </c>
      <c r="AB506" s="224">
        <f>SUMIFS('rehu-vesi-INFO'!$R:$R,'rehu-vesi-INFO'!$A:$A,'tuot-PVÄ'!B506)</f>
        <v>1742</v>
      </c>
      <c r="AC506" s="224">
        <f>SUMIFS('rehu-vesi-INFO'!$S:$S,'rehu-vesi-INFO'!$A:$A,'tuot-PVÄ'!B506)</f>
        <v>1850</v>
      </c>
      <c r="AD506" s="224">
        <f t="shared" si="133"/>
        <v>108</v>
      </c>
      <c r="AE506" s="224">
        <f t="shared" si="134"/>
        <v>0</v>
      </c>
      <c r="AF506" s="224">
        <f t="shared" si="135"/>
        <v>174.2</v>
      </c>
      <c r="AG506" s="224">
        <f t="shared" si="136"/>
        <v>10.8</v>
      </c>
      <c r="AH506" s="257">
        <f t="shared" si="138"/>
        <v>0</v>
      </c>
      <c r="AI506" s="258">
        <f t="shared" si="139"/>
        <v>0</v>
      </c>
      <c r="AJ506" s="55">
        <f>SUMIFS('tuot-INFO'!W:W,'tuot-INFO'!$A:$A,'tuot-PVÄ'!B506)</f>
        <v>66.774000000000001</v>
      </c>
      <c r="AK506" s="55">
        <f>SUMIFS('tuot-INFO'!X:X,'tuot-INFO'!$A:$A,'tuot-PVÄ'!B506)</f>
        <v>7.1799999999999926</v>
      </c>
    </row>
    <row r="507" spans="1:37" x14ac:dyDescent="0.25">
      <c r="A507" s="169">
        <f t="shared" si="137"/>
        <v>42993</v>
      </c>
      <c r="B507" s="23">
        <f>ROUNDUP((A507-Yleistiedot!$B$4)/7,0)</f>
        <v>89</v>
      </c>
      <c r="C507" s="16"/>
      <c r="D507" s="25"/>
      <c r="E507" s="25"/>
      <c r="F507" s="25"/>
      <c r="G507" s="25"/>
      <c r="H507" s="25"/>
      <c r="I507" s="65">
        <f t="shared" si="132"/>
        <v>0</v>
      </c>
      <c r="J507" s="26"/>
      <c r="K507" s="25"/>
      <c r="L507" s="16"/>
      <c r="M507" s="16"/>
      <c r="N507" s="25"/>
      <c r="O507" s="30"/>
      <c r="P507" s="252">
        <f t="shared" si="144"/>
        <v>9990</v>
      </c>
      <c r="Q507" s="253">
        <f t="shared" si="145"/>
        <v>0</v>
      </c>
      <c r="R507" s="253">
        <f t="shared" si="146"/>
        <v>0</v>
      </c>
      <c r="S507" s="251">
        <f>SUMIFS('tuot-rehukirjanpito'!D:D,'tuot-rehukirjanpito'!A:A,A507)</f>
        <v>0</v>
      </c>
      <c r="T507" s="254">
        <f t="shared" si="140"/>
        <v>1098.9000000000001</v>
      </c>
      <c r="U507" s="254">
        <f t="shared" si="141"/>
        <v>1098.8999999999999</v>
      </c>
      <c r="V507" s="252">
        <f t="shared" si="142"/>
        <v>-554944.50000000524</v>
      </c>
      <c r="W507" s="255">
        <f t="shared" si="143"/>
        <v>-505.00000000000472</v>
      </c>
      <c r="X507" s="256" t="str">
        <f t="shared" si="147"/>
        <v/>
      </c>
      <c r="Y507" s="256" t="str">
        <f t="shared" si="148"/>
        <v/>
      </c>
      <c r="Z507" s="224" t="str">
        <f>IF(IFERROR(INDEX('tuot-rehukirjanpito'!I:I,MATCH(A507,'tuot-rehukirjanpito'!G:G,0)),)=0,"",INDEX('tuot-rehukirjanpito'!I:I,MATCH(A507,'tuot-rehukirjanpito'!G:G,0)))</f>
        <v/>
      </c>
      <c r="AA507" s="224">
        <f>SUMIFS('tuot-INFO'!$K$10:$K$115,'tuot-INFO'!$A$10:$A$115,'tuot-PVÄ'!B507)</f>
        <v>66.3</v>
      </c>
      <c r="AB507" s="224">
        <f>SUMIFS('rehu-vesi-INFO'!$R:$R,'rehu-vesi-INFO'!$A:$A,'tuot-PVÄ'!B507)</f>
        <v>1742</v>
      </c>
      <c r="AC507" s="224">
        <f>SUMIFS('rehu-vesi-INFO'!$S:$S,'rehu-vesi-INFO'!$A:$A,'tuot-PVÄ'!B507)</f>
        <v>1850</v>
      </c>
      <c r="AD507" s="224">
        <f t="shared" si="133"/>
        <v>108</v>
      </c>
      <c r="AE507" s="224">
        <f t="shared" si="134"/>
        <v>0</v>
      </c>
      <c r="AF507" s="224">
        <f t="shared" si="135"/>
        <v>174.2</v>
      </c>
      <c r="AG507" s="224">
        <f t="shared" si="136"/>
        <v>10.8</v>
      </c>
      <c r="AH507" s="257">
        <f t="shared" si="138"/>
        <v>0</v>
      </c>
      <c r="AI507" s="258">
        <f t="shared" si="139"/>
        <v>0</v>
      </c>
      <c r="AJ507" s="55">
        <f>SUMIFS('tuot-INFO'!W:W,'tuot-INFO'!$A:$A,'tuot-PVÄ'!B507)</f>
        <v>66.774000000000001</v>
      </c>
      <c r="AK507" s="55">
        <f>SUMIFS('tuot-INFO'!X:X,'tuot-INFO'!$A:$A,'tuot-PVÄ'!B507)</f>
        <v>7.1799999999999926</v>
      </c>
    </row>
    <row r="508" spans="1:37" x14ac:dyDescent="0.25">
      <c r="A508" s="169">
        <f t="shared" si="137"/>
        <v>42994</v>
      </c>
      <c r="B508" s="23">
        <f>ROUNDUP((A508-Yleistiedot!$B$4)/7,0)</f>
        <v>90</v>
      </c>
      <c r="C508" s="16"/>
      <c r="D508" s="25"/>
      <c r="E508" s="25"/>
      <c r="F508" s="25"/>
      <c r="G508" s="25"/>
      <c r="H508" s="25"/>
      <c r="I508" s="65">
        <f t="shared" si="132"/>
        <v>0</v>
      </c>
      <c r="J508" s="26"/>
      <c r="K508" s="25"/>
      <c r="L508" s="16"/>
      <c r="M508" s="16"/>
      <c r="N508" s="25"/>
      <c r="O508" s="30"/>
      <c r="P508" s="252">
        <f t="shared" si="144"/>
        <v>9990</v>
      </c>
      <c r="Q508" s="253">
        <f t="shared" si="145"/>
        <v>0</v>
      </c>
      <c r="R508" s="253">
        <f t="shared" si="146"/>
        <v>0</v>
      </c>
      <c r="S508" s="251">
        <f>SUMIFS('tuot-rehukirjanpito'!D:D,'tuot-rehukirjanpito'!A:A,A508)</f>
        <v>0</v>
      </c>
      <c r="T508" s="254">
        <f t="shared" si="140"/>
        <v>1098.9000000000001</v>
      </c>
      <c r="U508" s="254">
        <f t="shared" si="141"/>
        <v>1098.8999999999999</v>
      </c>
      <c r="V508" s="252">
        <f t="shared" si="142"/>
        <v>-556043.40000000526</v>
      </c>
      <c r="W508" s="255">
        <f t="shared" si="143"/>
        <v>-506.00000000000477</v>
      </c>
      <c r="X508" s="256" t="str">
        <f t="shared" si="147"/>
        <v/>
      </c>
      <c r="Y508" s="256" t="str">
        <f t="shared" si="148"/>
        <v/>
      </c>
      <c r="Z508" s="224" t="str">
        <f>IF(IFERROR(INDEX('tuot-rehukirjanpito'!I:I,MATCH(A508,'tuot-rehukirjanpito'!G:G,0)),)=0,"",INDEX('tuot-rehukirjanpito'!I:I,MATCH(A508,'tuot-rehukirjanpito'!G:G,0)))</f>
        <v/>
      </c>
      <c r="AA508" s="224">
        <f>SUMIFS('tuot-INFO'!$K$10:$K$115,'tuot-INFO'!$A$10:$A$115,'tuot-PVÄ'!B508)</f>
        <v>66.3</v>
      </c>
      <c r="AB508" s="224">
        <f>SUMIFS('rehu-vesi-INFO'!$R:$R,'rehu-vesi-INFO'!$A:$A,'tuot-PVÄ'!B508)</f>
        <v>1743</v>
      </c>
      <c r="AC508" s="224">
        <f>SUMIFS('rehu-vesi-INFO'!$S:$S,'rehu-vesi-INFO'!$A:$A,'tuot-PVÄ'!B508)</f>
        <v>1851</v>
      </c>
      <c r="AD508" s="224">
        <f t="shared" si="133"/>
        <v>108</v>
      </c>
      <c r="AE508" s="224">
        <f t="shared" si="134"/>
        <v>0</v>
      </c>
      <c r="AF508" s="224">
        <f t="shared" si="135"/>
        <v>174.3</v>
      </c>
      <c r="AG508" s="224">
        <f t="shared" si="136"/>
        <v>10.8</v>
      </c>
      <c r="AH508" s="257">
        <f t="shared" si="138"/>
        <v>0</v>
      </c>
      <c r="AI508" s="258">
        <f t="shared" si="139"/>
        <v>0</v>
      </c>
      <c r="AJ508" s="55">
        <f>SUMIFS('tuot-INFO'!W:W,'tuot-INFO'!$A:$A,'tuot-PVÄ'!B508)</f>
        <v>66.12299999999999</v>
      </c>
      <c r="AK508" s="55">
        <f>SUMIFS('tuot-INFO'!X:X,'tuot-INFO'!$A:$A,'tuot-PVÄ'!B508)</f>
        <v>7.1099999999999994</v>
      </c>
    </row>
    <row r="509" spans="1:37" x14ac:dyDescent="0.25">
      <c r="A509" s="169">
        <f t="shared" si="137"/>
        <v>42995</v>
      </c>
      <c r="B509" s="23">
        <f>ROUNDUP((A509-Yleistiedot!$B$4)/7,0)</f>
        <v>90</v>
      </c>
      <c r="C509" s="16"/>
      <c r="D509" s="25"/>
      <c r="E509" s="25"/>
      <c r="F509" s="25"/>
      <c r="G509" s="25"/>
      <c r="H509" s="25"/>
      <c r="I509" s="65">
        <f t="shared" si="132"/>
        <v>0</v>
      </c>
      <c r="J509" s="26"/>
      <c r="K509" s="25"/>
      <c r="L509" s="16"/>
      <c r="M509" s="16"/>
      <c r="N509" s="25"/>
      <c r="O509" s="30"/>
      <c r="P509" s="252">
        <f t="shared" si="144"/>
        <v>9990</v>
      </c>
      <c r="Q509" s="253">
        <f t="shared" si="145"/>
        <v>0</v>
      </c>
      <c r="R509" s="253">
        <f t="shared" si="146"/>
        <v>0</v>
      </c>
      <c r="S509" s="251">
        <f>SUMIFS('tuot-rehukirjanpito'!D:D,'tuot-rehukirjanpito'!A:A,A509)</f>
        <v>0</v>
      </c>
      <c r="T509" s="254">
        <f t="shared" si="140"/>
        <v>1098.9000000000001</v>
      </c>
      <c r="U509" s="254">
        <f t="shared" si="141"/>
        <v>1098.8999999999999</v>
      </c>
      <c r="V509" s="252">
        <f t="shared" si="142"/>
        <v>-557142.30000000529</v>
      </c>
      <c r="W509" s="255">
        <f t="shared" si="143"/>
        <v>-507.00000000000477</v>
      </c>
      <c r="X509" s="256" t="str">
        <f t="shared" si="147"/>
        <v/>
      </c>
      <c r="Y509" s="256" t="str">
        <f t="shared" si="148"/>
        <v/>
      </c>
      <c r="Z509" s="224" t="str">
        <f>IF(IFERROR(INDEX('tuot-rehukirjanpito'!I:I,MATCH(A509,'tuot-rehukirjanpito'!G:G,0)),)=0,"",INDEX('tuot-rehukirjanpito'!I:I,MATCH(A509,'tuot-rehukirjanpito'!G:G,0)))</f>
        <v/>
      </c>
      <c r="AA509" s="224">
        <f>SUMIFS('tuot-INFO'!$K$10:$K$115,'tuot-INFO'!$A$10:$A$115,'tuot-PVÄ'!B509)</f>
        <v>66.3</v>
      </c>
      <c r="AB509" s="224">
        <f>SUMIFS('rehu-vesi-INFO'!$R:$R,'rehu-vesi-INFO'!$A:$A,'tuot-PVÄ'!B509)</f>
        <v>1743</v>
      </c>
      <c r="AC509" s="224">
        <f>SUMIFS('rehu-vesi-INFO'!$S:$S,'rehu-vesi-INFO'!$A:$A,'tuot-PVÄ'!B509)</f>
        <v>1851</v>
      </c>
      <c r="AD509" s="224">
        <f t="shared" si="133"/>
        <v>108</v>
      </c>
      <c r="AE509" s="224">
        <f t="shared" si="134"/>
        <v>0</v>
      </c>
      <c r="AF509" s="224">
        <f t="shared" si="135"/>
        <v>174.3</v>
      </c>
      <c r="AG509" s="224">
        <f t="shared" si="136"/>
        <v>10.8</v>
      </c>
      <c r="AH509" s="257">
        <f t="shared" si="138"/>
        <v>0</v>
      </c>
      <c r="AI509" s="258">
        <f t="shared" si="139"/>
        <v>0</v>
      </c>
      <c r="AJ509" s="55">
        <f>SUMIFS('tuot-INFO'!W:W,'tuot-INFO'!$A:$A,'tuot-PVÄ'!B509)</f>
        <v>66.12299999999999</v>
      </c>
      <c r="AK509" s="55">
        <f>SUMIFS('tuot-INFO'!X:X,'tuot-INFO'!$A:$A,'tuot-PVÄ'!B509)</f>
        <v>7.1099999999999994</v>
      </c>
    </row>
    <row r="510" spans="1:37" x14ac:dyDescent="0.25">
      <c r="A510" s="169">
        <f t="shared" si="137"/>
        <v>42996</v>
      </c>
      <c r="B510" s="23">
        <f>ROUNDUP((A510-Yleistiedot!$B$4)/7,0)</f>
        <v>90</v>
      </c>
      <c r="C510" s="16"/>
      <c r="D510" s="25"/>
      <c r="E510" s="25"/>
      <c r="F510" s="25"/>
      <c r="G510" s="25"/>
      <c r="H510" s="25"/>
      <c r="I510" s="65">
        <f t="shared" si="132"/>
        <v>0</v>
      </c>
      <c r="J510" s="26"/>
      <c r="K510" s="25"/>
      <c r="L510" s="16"/>
      <c r="M510" s="16"/>
      <c r="N510" s="25"/>
      <c r="O510" s="30"/>
      <c r="P510" s="252">
        <f t="shared" si="144"/>
        <v>9990</v>
      </c>
      <c r="Q510" s="253">
        <f t="shared" si="145"/>
        <v>0</v>
      </c>
      <c r="R510" s="253">
        <f t="shared" si="146"/>
        <v>0</v>
      </c>
      <c r="S510" s="251">
        <f>SUMIFS('tuot-rehukirjanpito'!D:D,'tuot-rehukirjanpito'!A:A,A510)</f>
        <v>0</v>
      </c>
      <c r="T510" s="254">
        <f t="shared" si="140"/>
        <v>1098.9000000000001</v>
      </c>
      <c r="U510" s="254">
        <f t="shared" si="141"/>
        <v>1098.8999999999999</v>
      </c>
      <c r="V510" s="252">
        <f t="shared" si="142"/>
        <v>-558241.20000000531</v>
      </c>
      <c r="W510" s="255">
        <f t="shared" si="143"/>
        <v>-508.00000000000477</v>
      </c>
      <c r="X510" s="256" t="str">
        <f t="shared" si="147"/>
        <v/>
      </c>
      <c r="Y510" s="256" t="str">
        <f t="shared" si="148"/>
        <v/>
      </c>
      <c r="Z510" s="224" t="str">
        <f>IF(IFERROR(INDEX('tuot-rehukirjanpito'!I:I,MATCH(A510,'tuot-rehukirjanpito'!G:G,0)),)=0,"",INDEX('tuot-rehukirjanpito'!I:I,MATCH(A510,'tuot-rehukirjanpito'!G:G,0)))</f>
        <v/>
      </c>
      <c r="AA510" s="224">
        <f>SUMIFS('tuot-INFO'!$K$10:$K$115,'tuot-INFO'!$A$10:$A$115,'tuot-PVÄ'!B510)</f>
        <v>66.3</v>
      </c>
      <c r="AB510" s="224">
        <f>SUMIFS('rehu-vesi-INFO'!$R:$R,'rehu-vesi-INFO'!$A:$A,'tuot-PVÄ'!B510)</f>
        <v>1743</v>
      </c>
      <c r="AC510" s="224">
        <f>SUMIFS('rehu-vesi-INFO'!$S:$S,'rehu-vesi-INFO'!$A:$A,'tuot-PVÄ'!B510)</f>
        <v>1851</v>
      </c>
      <c r="AD510" s="224">
        <f t="shared" si="133"/>
        <v>108</v>
      </c>
      <c r="AE510" s="224">
        <f t="shared" si="134"/>
        <v>0</v>
      </c>
      <c r="AF510" s="224">
        <f t="shared" si="135"/>
        <v>174.3</v>
      </c>
      <c r="AG510" s="224">
        <f t="shared" si="136"/>
        <v>10.8</v>
      </c>
      <c r="AH510" s="257">
        <f t="shared" si="138"/>
        <v>0</v>
      </c>
      <c r="AI510" s="258">
        <f t="shared" si="139"/>
        <v>0</v>
      </c>
      <c r="AJ510" s="55">
        <f>SUMIFS('tuot-INFO'!W:W,'tuot-INFO'!$A:$A,'tuot-PVÄ'!B510)</f>
        <v>66.12299999999999</v>
      </c>
      <c r="AK510" s="55">
        <f>SUMIFS('tuot-INFO'!X:X,'tuot-INFO'!$A:$A,'tuot-PVÄ'!B510)</f>
        <v>7.1099999999999994</v>
      </c>
    </row>
    <row r="511" spans="1:37" x14ac:dyDescent="0.25">
      <c r="A511" s="169">
        <f t="shared" si="137"/>
        <v>42997</v>
      </c>
      <c r="B511" s="23">
        <f>ROUNDUP((A511-Yleistiedot!$B$4)/7,0)</f>
        <v>90</v>
      </c>
      <c r="C511" s="16"/>
      <c r="D511" s="25"/>
      <c r="E511" s="25"/>
      <c r="F511" s="25"/>
      <c r="G511" s="25"/>
      <c r="H511" s="25"/>
      <c r="I511" s="65">
        <f t="shared" si="132"/>
        <v>0</v>
      </c>
      <c r="J511" s="26"/>
      <c r="K511" s="25"/>
      <c r="L511" s="16"/>
      <c r="M511" s="16"/>
      <c r="N511" s="25"/>
      <c r="O511" s="30"/>
      <c r="P511" s="252">
        <f t="shared" si="144"/>
        <v>9990</v>
      </c>
      <c r="Q511" s="253">
        <f t="shared" si="145"/>
        <v>0</v>
      </c>
      <c r="R511" s="253">
        <f t="shared" si="146"/>
        <v>0</v>
      </c>
      <c r="S511" s="251">
        <f>SUMIFS('tuot-rehukirjanpito'!D:D,'tuot-rehukirjanpito'!A:A,A511)</f>
        <v>0</v>
      </c>
      <c r="T511" s="254">
        <f t="shared" si="140"/>
        <v>1098.9000000000001</v>
      </c>
      <c r="U511" s="254">
        <f t="shared" si="141"/>
        <v>1098.8999999999999</v>
      </c>
      <c r="V511" s="252">
        <f t="shared" si="142"/>
        <v>-559340.10000000533</v>
      </c>
      <c r="W511" s="255">
        <f t="shared" si="143"/>
        <v>-509.00000000000483</v>
      </c>
      <c r="X511" s="256" t="str">
        <f t="shared" si="147"/>
        <v/>
      </c>
      <c r="Y511" s="256" t="str">
        <f t="shared" si="148"/>
        <v/>
      </c>
      <c r="Z511" s="224" t="str">
        <f>IF(IFERROR(INDEX('tuot-rehukirjanpito'!I:I,MATCH(A511,'tuot-rehukirjanpito'!G:G,0)),)=0,"",INDEX('tuot-rehukirjanpito'!I:I,MATCH(A511,'tuot-rehukirjanpito'!G:G,0)))</f>
        <v/>
      </c>
      <c r="AA511" s="224">
        <f>SUMIFS('tuot-INFO'!$K$10:$K$115,'tuot-INFO'!$A$10:$A$115,'tuot-PVÄ'!B511)</f>
        <v>66.3</v>
      </c>
      <c r="AB511" s="224">
        <f>SUMIFS('rehu-vesi-INFO'!$R:$R,'rehu-vesi-INFO'!$A:$A,'tuot-PVÄ'!B511)</f>
        <v>1743</v>
      </c>
      <c r="AC511" s="224">
        <f>SUMIFS('rehu-vesi-INFO'!$S:$S,'rehu-vesi-INFO'!$A:$A,'tuot-PVÄ'!B511)</f>
        <v>1851</v>
      </c>
      <c r="AD511" s="224">
        <f t="shared" si="133"/>
        <v>108</v>
      </c>
      <c r="AE511" s="224">
        <f t="shared" si="134"/>
        <v>0</v>
      </c>
      <c r="AF511" s="224">
        <f t="shared" si="135"/>
        <v>174.3</v>
      </c>
      <c r="AG511" s="224">
        <f t="shared" si="136"/>
        <v>10.8</v>
      </c>
      <c r="AH511" s="257">
        <f t="shared" si="138"/>
        <v>0</v>
      </c>
      <c r="AI511" s="258">
        <f t="shared" si="139"/>
        <v>0</v>
      </c>
      <c r="AJ511" s="55">
        <f>SUMIFS('tuot-INFO'!W:W,'tuot-INFO'!$A:$A,'tuot-PVÄ'!B511)</f>
        <v>66.12299999999999</v>
      </c>
      <c r="AK511" s="55">
        <f>SUMIFS('tuot-INFO'!X:X,'tuot-INFO'!$A:$A,'tuot-PVÄ'!B511)</f>
        <v>7.1099999999999994</v>
      </c>
    </row>
    <row r="512" spans="1:37" x14ac:dyDescent="0.25">
      <c r="A512" s="169">
        <f t="shared" si="137"/>
        <v>42998</v>
      </c>
      <c r="B512" s="23">
        <f>ROUNDUP((A512-Yleistiedot!$B$4)/7,0)</f>
        <v>90</v>
      </c>
      <c r="C512" s="16"/>
      <c r="D512" s="25"/>
      <c r="E512" s="25"/>
      <c r="F512" s="25"/>
      <c r="G512" s="25"/>
      <c r="H512" s="25"/>
      <c r="I512" s="65">
        <f t="shared" si="132"/>
        <v>0</v>
      </c>
      <c r="J512" s="26"/>
      <c r="K512" s="25"/>
      <c r="L512" s="16"/>
      <c r="M512" s="16"/>
      <c r="N512" s="25"/>
      <c r="O512" s="30"/>
      <c r="P512" s="252">
        <f t="shared" si="144"/>
        <v>9990</v>
      </c>
      <c r="Q512" s="253">
        <f t="shared" si="145"/>
        <v>0</v>
      </c>
      <c r="R512" s="253">
        <f t="shared" si="146"/>
        <v>0</v>
      </c>
      <c r="S512" s="251">
        <f>SUMIFS('tuot-rehukirjanpito'!D:D,'tuot-rehukirjanpito'!A:A,A512)</f>
        <v>0</v>
      </c>
      <c r="T512" s="254">
        <f t="shared" si="140"/>
        <v>1098.9000000000001</v>
      </c>
      <c r="U512" s="254">
        <f t="shared" si="141"/>
        <v>1098.8999999999999</v>
      </c>
      <c r="V512" s="252">
        <f t="shared" si="142"/>
        <v>-560439.00000000536</v>
      </c>
      <c r="W512" s="255">
        <f t="shared" si="143"/>
        <v>-510.00000000000483</v>
      </c>
      <c r="X512" s="256" t="str">
        <f t="shared" si="147"/>
        <v/>
      </c>
      <c r="Y512" s="256" t="str">
        <f t="shared" si="148"/>
        <v/>
      </c>
      <c r="Z512" s="224" t="str">
        <f>IF(IFERROR(INDEX('tuot-rehukirjanpito'!I:I,MATCH(A512,'tuot-rehukirjanpito'!G:G,0)),)=0,"",INDEX('tuot-rehukirjanpito'!I:I,MATCH(A512,'tuot-rehukirjanpito'!G:G,0)))</f>
        <v/>
      </c>
      <c r="AA512" s="224">
        <f>SUMIFS('tuot-INFO'!$K$10:$K$115,'tuot-INFO'!$A$10:$A$115,'tuot-PVÄ'!B512)</f>
        <v>66.3</v>
      </c>
      <c r="AB512" s="224">
        <f>SUMIFS('rehu-vesi-INFO'!$R:$R,'rehu-vesi-INFO'!$A:$A,'tuot-PVÄ'!B512)</f>
        <v>1743</v>
      </c>
      <c r="AC512" s="224">
        <f>SUMIFS('rehu-vesi-INFO'!$S:$S,'rehu-vesi-INFO'!$A:$A,'tuot-PVÄ'!B512)</f>
        <v>1851</v>
      </c>
      <c r="AD512" s="224">
        <f t="shared" si="133"/>
        <v>108</v>
      </c>
      <c r="AE512" s="224">
        <f t="shared" si="134"/>
        <v>0</v>
      </c>
      <c r="AF512" s="224">
        <f t="shared" si="135"/>
        <v>174.3</v>
      </c>
      <c r="AG512" s="224">
        <f t="shared" si="136"/>
        <v>10.8</v>
      </c>
      <c r="AH512" s="257">
        <f t="shared" si="138"/>
        <v>0</v>
      </c>
      <c r="AI512" s="258">
        <f t="shared" si="139"/>
        <v>0</v>
      </c>
      <c r="AJ512" s="55">
        <f>SUMIFS('tuot-INFO'!W:W,'tuot-INFO'!$A:$A,'tuot-PVÄ'!B512)</f>
        <v>66.12299999999999</v>
      </c>
      <c r="AK512" s="55">
        <f>SUMIFS('tuot-INFO'!X:X,'tuot-INFO'!$A:$A,'tuot-PVÄ'!B512)</f>
        <v>7.1099999999999994</v>
      </c>
    </row>
    <row r="513" spans="1:37" x14ac:dyDescent="0.25">
      <c r="A513" s="169">
        <f t="shared" si="137"/>
        <v>42999</v>
      </c>
      <c r="B513" s="23">
        <f>ROUNDUP((A513-Yleistiedot!$B$4)/7,0)</f>
        <v>90</v>
      </c>
      <c r="C513" s="16"/>
      <c r="D513" s="25"/>
      <c r="E513" s="25"/>
      <c r="F513" s="25"/>
      <c r="G513" s="25"/>
      <c r="H513" s="25"/>
      <c r="I513" s="65">
        <f t="shared" si="132"/>
        <v>0</v>
      </c>
      <c r="J513" s="26"/>
      <c r="K513" s="25"/>
      <c r="L513" s="16"/>
      <c r="M513" s="16"/>
      <c r="N513" s="25"/>
      <c r="O513" s="30"/>
      <c r="P513" s="252">
        <f t="shared" si="144"/>
        <v>9990</v>
      </c>
      <c r="Q513" s="253">
        <f t="shared" si="145"/>
        <v>0</v>
      </c>
      <c r="R513" s="253">
        <f t="shared" si="146"/>
        <v>0</v>
      </c>
      <c r="S513" s="251">
        <f>SUMIFS('tuot-rehukirjanpito'!D:D,'tuot-rehukirjanpito'!A:A,A513)</f>
        <v>0</v>
      </c>
      <c r="T513" s="254">
        <f t="shared" si="140"/>
        <v>1098.9000000000001</v>
      </c>
      <c r="U513" s="254">
        <f t="shared" si="141"/>
        <v>1098.8999999999999</v>
      </c>
      <c r="V513" s="252">
        <f t="shared" si="142"/>
        <v>-561537.90000000538</v>
      </c>
      <c r="W513" s="255">
        <f t="shared" si="143"/>
        <v>-511.00000000000483</v>
      </c>
      <c r="X513" s="256" t="str">
        <f t="shared" si="147"/>
        <v/>
      </c>
      <c r="Y513" s="256" t="str">
        <f t="shared" si="148"/>
        <v/>
      </c>
      <c r="Z513" s="224" t="str">
        <f>IF(IFERROR(INDEX('tuot-rehukirjanpito'!I:I,MATCH(A513,'tuot-rehukirjanpito'!G:G,0)),)=0,"",INDEX('tuot-rehukirjanpito'!I:I,MATCH(A513,'tuot-rehukirjanpito'!G:G,0)))</f>
        <v/>
      </c>
      <c r="AA513" s="224">
        <f>SUMIFS('tuot-INFO'!$K$10:$K$115,'tuot-INFO'!$A$10:$A$115,'tuot-PVÄ'!B513)</f>
        <v>66.3</v>
      </c>
      <c r="AB513" s="224">
        <f>SUMIFS('rehu-vesi-INFO'!$R:$R,'rehu-vesi-INFO'!$A:$A,'tuot-PVÄ'!B513)</f>
        <v>1743</v>
      </c>
      <c r="AC513" s="224">
        <f>SUMIFS('rehu-vesi-INFO'!$S:$S,'rehu-vesi-INFO'!$A:$A,'tuot-PVÄ'!B513)</f>
        <v>1851</v>
      </c>
      <c r="AD513" s="224">
        <f t="shared" si="133"/>
        <v>108</v>
      </c>
      <c r="AE513" s="224">
        <f t="shared" si="134"/>
        <v>0</v>
      </c>
      <c r="AF513" s="224">
        <f t="shared" si="135"/>
        <v>174.3</v>
      </c>
      <c r="AG513" s="224">
        <f t="shared" si="136"/>
        <v>10.8</v>
      </c>
      <c r="AH513" s="257">
        <f t="shared" si="138"/>
        <v>0</v>
      </c>
      <c r="AI513" s="258">
        <f t="shared" si="139"/>
        <v>0</v>
      </c>
      <c r="AJ513" s="55">
        <f>SUMIFS('tuot-INFO'!W:W,'tuot-INFO'!$A:$A,'tuot-PVÄ'!B513)</f>
        <v>66.12299999999999</v>
      </c>
      <c r="AK513" s="55">
        <f>SUMIFS('tuot-INFO'!X:X,'tuot-INFO'!$A:$A,'tuot-PVÄ'!B513)</f>
        <v>7.1099999999999994</v>
      </c>
    </row>
    <row r="514" spans="1:37" x14ac:dyDescent="0.25">
      <c r="A514" s="169">
        <f t="shared" si="137"/>
        <v>43000</v>
      </c>
      <c r="B514" s="23">
        <f>ROUNDUP((A514-Yleistiedot!$B$4)/7,0)</f>
        <v>90</v>
      </c>
      <c r="C514" s="16"/>
      <c r="D514" s="25"/>
      <c r="E514" s="25"/>
      <c r="F514" s="25"/>
      <c r="G514" s="25"/>
      <c r="H514" s="25"/>
      <c r="I514" s="65">
        <f t="shared" si="132"/>
        <v>0</v>
      </c>
      <c r="J514" s="26"/>
      <c r="K514" s="25"/>
      <c r="L514" s="16"/>
      <c r="M514" s="16"/>
      <c r="N514" s="25"/>
      <c r="O514" s="30"/>
      <c r="P514" s="252">
        <f t="shared" si="144"/>
        <v>9990</v>
      </c>
      <c r="Q514" s="253">
        <f t="shared" si="145"/>
        <v>0</v>
      </c>
      <c r="R514" s="253">
        <f t="shared" si="146"/>
        <v>0</v>
      </c>
      <c r="S514" s="251">
        <f>SUMIFS('tuot-rehukirjanpito'!D:D,'tuot-rehukirjanpito'!A:A,A514)</f>
        <v>0</v>
      </c>
      <c r="T514" s="254">
        <f t="shared" si="140"/>
        <v>1098.9000000000001</v>
      </c>
      <c r="U514" s="254">
        <f t="shared" si="141"/>
        <v>1098.8999999999999</v>
      </c>
      <c r="V514" s="252">
        <f t="shared" si="142"/>
        <v>-562636.8000000054</v>
      </c>
      <c r="W514" s="255">
        <f t="shared" si="143"/>
        <v>-512.00000000000489</v>
      </c>
      <c r="X514" s="256" t="str">
        <f t="shared" si="147"/>
        <v/>
      </c>
      <c r="Y514" s="256" t="str">
        <f t="shared" si="148"/>
        <v/>
      </c>
      <c r="Z514" s="224" t="str">
        <f>IF(IFERROR(INDEX('tuot-rehukirjanpito'!I:I,MATCH(A514,'tuot-rehukirjanpito'!G:G,0)),)=0,"",INDEX('tuot-rehukirjanpito'!I:I,MATCH(A514,'tuot-rehukirjanpito'!G:G,0)))</f>
        <v/>
      </c>
      <c r="AA514" s="224">
        <f>SUMIFS('tuot-INFO'!$K$10:$K$115,'tuot-INFO'!$A$10:$A$115,'tuot-PVÄ'!B514)</f>
        <v>66.3</v>
      </c>
      <c r="AB514" s="224">
        <f>SUMIFS('rehu-vesi-INFO'!$R:$R,'rehu-vesi-INFO'!$A:$A,'tuot-PVÄ'!B514)</f>
        <v>1743</v>
      </c>
      <c r="AC514" s="224">
        <f>SUMIFS('rehu-vesi-INFO'!$S:$S,'rehu-vesi-INFO'!$A:$A,'tuot-PVÄ'!B514)</f>
        <v>1851</v>
      </c>
      <c r="AD514" s="224">
        <f t="shared" si="133"/>
        <v>108</v>
      </c>
      <c r="AE514" s="224">
        <f t="shared" si="134"/>
        <v>0</v>
      </c>
      <c r="AF514" s="224">
        <f t="shared" si="135"/>
        <v>174.3</v>
      </c>
      <c r="AG514" s="224">
        <f t="shared" si="136"/>
        <v>10.8</v>
      </c>
      <c r="AH514" s="257">
        <f t="shared" si="138"/>
        <v>0</v>
      </c>
      <c r="AI514" s="258">
        <f t="shared" si="139"/>
        <v>0</v>
      </c>
      <c r="AJ514" s="55">
        <f>SUMIFS('tuot-INFO'!W:W,'tuot-INFO'!$A:$A,'tuot-PVÄ'!B514)</f>
        <v>66.12299999999999</v>
      </c>
      <c r="AK514" s="55">
        <f>SUMIFS('tuot-INFO'!X:X,'tuot-INFO'!$A:$A,'tuot-PVÄ'!B514)</f>
        <v>7.1099999999999994</v>
      </c>
    </row>
    <row r="515" spans="1:37" x14ac:dyDescent="0.25">
      <c r="A515" s="169">
        <f t="shared" si="137"/>
        <v>43001</v>
      </c>
      <c r="B515" s="23">
        <f>ROUNDUP((A515-Yleistiedot!$B$4)/7,0)</f>
        <v>91</v>
      </c>
      <c r="C515" s="16"/>
      <c r="D515" s="25"/>
      <c r="E515" s="25"/>
      <c r="F515" s="25"/>
      <c r="G515" s="25"/>
      <c r="H515" s="25"/>
      <c r="I515" s="65">
        <f t="shared" si="132"/>
        <v>0</v>
      </c>
      <c r="J515" s="26"/>
      <c r="K515" s="25"/>
      <c r="L515" s="16"/>
      <c r="M515" s="16"/>
      <c r="N515" s="25"/>
      <c r="O515" s="30"/>
      <c r="P515" s="252">
        <f t="shared" si="144"/>
        <v>9990</v>
      </c>
      <c r="Q515" s="253">
        <f t="shared" si="145"/>
        <v>0</v>
      </c>
      <c r="R515" s="253">
        <f t="shared" si="146"/>
        <v>0</v>
      </c>
      <c r="S515" s="251">
        <f>SUMIFS('tuot-rehukirjanpito'!D:D,'tuot-rehukirjanpito'!A:A,A515)</f>
        <v>0</v>
      </c>
      <c r="T515" s="254">
        <f t="shared" si="140"/>
        <v>1098.9000000000001</v>
      </c>
      <c r="U515" s="254">
        <f t="shared" si="141"/>
        <v>1098.8999999999999</v>
      </c>
      <c r="V515" s="252">
        <f t="shared" si="142"/>
        <v>-563735.70000000542</v>
      </c>
      <c r="W515" s="255">
        <f t="shared" si="143"/>
        <v>-513.00000000000489</v>
      </c>
      <c r="X515" s="256" t="str">
        <f t="shared" si="147"/>
        <v/>
      </c>
      <c r="Y515" s="256" t="str">
        <f t="shared" si="148"/>
        <v/>
      </c>
      <c r="Z515" s="224" t="str">
        <f>IF(IFERROR(INDEX('tuot-rehukirjanpito'!I:I,MATCH(A515,'tuot-rehukirjanpito'!G:G,0)),)=0,"",INDEX('tuot-rehukirjanpito'!I:I,MATCH(A515,'tuot-rehukirjanpito'!G:G,0)))</f>
        <v/>
      </c>
      <c r="AA515" s="224">
        <f>SUMIFS('tuot-INFO'!$K$10:$K$115,'tuot-INFO'!$A$10:$A$115,'tuot-PVÄ'!B515)</f>
        <v>66.3</v>
      </c>
      <c r="AB515" s="224">
        <f>SUMIFS('rehu-vesi-INFO'!$R:$R,'rehu-vesi-INFO'!$A:$A,'tuot-PVÄ'!B515)</f>
        <v>1744</v>
      </c>
      <c r="AC515" s="224">
        <f>SUMIFS('rehu-vesi-INFO'!$S:$S,'rehu-vesi-INFO'!$A:$A,'tuot-PVÄ'!B515)</f>
        <v>1851</v>
      </c>
      <c r="AD515" s="224">
        <f t="shared" si="133"/>
        <v>107</v>
      </c>
      <c r="AE515" s="224">
        <f t="shared" si="134"/>
        <v>0</v>
      </c>
      <c r="AF515" s="224">
        <f t="shared" si="135"/>
        <v>174.4</v>
      </c>
      <c r="AG515" s="224">
        <f t="shared" si="136"/>
        <v>10.7</v>
      </c>
      <c r="AH515" s="257">
        <f t="shared" si="138"/>
        <v>0</v>
      </c>
      <c r="AI515" s="258">
        <f t="shared" si="139"/>
        <v>0</v>
      </c>
      <c r="AJ515" s="55">
        <f>SUMIFS('tuot-INFO'!W:W,'tuot-INFO'!$A:$A,'tuot-PVÄ'!B515)</f>
        <v>65.472000000000008</v>
      </c>
      <c r="AK515" s="55">
        <f>SUMIFS('tuot-INFO'!X:X,'tuot-INFO'!$A:$A,'tuot-PVÄ'!B515)</f>
        <v>7.039999999999992</v>
      </c>
    </row>
    <row r="516" spans="1:37" x14ac:dyDescent="0.25">
      <c r="A516" s="169">
        <f t="shared" si="137"/>
        <v>43002</v>
      </c>
      <c r="B516" s="23">
        <f>ROUNDUP((A516-Yleistiedot!$B$4)/7,0)</f>
        <v>91</v>
      </c>
      <c r="C516" s="16"/>
      <c r="D516" s="25"/>
      <c r="E516" s="25"/>
      <c r="F516" s="25"/>
      <c r="G516" s="25"/>
      <c r="H516" s="25"/>
      <c r="I516" s="65">
        <f t="shared" ref="I516:I579" si="149">SUM(E516:H516)</f>
        <v>0</v>
      </c>
      <c r="J516" s="26"/>
      <c r="K516" s="25"/>
      <c r="L516" s="16"/>
      <c r="M516" s="16"/>
      <c r="N516" s="25"/>
      <c r="O516" s="30"/>
      <c r="P516" s="252">
        <f t="shared" si="144"/>
        <v>9990</v>
      </c>
      <c r="Q516" s="253">
        <f t="shared" si="145"/>
        <v>0</v>
      </c>
      <c r="R516" s="253">
        <f t="shared" si="146"/>
        <v>0</v>
      </c>
      <c r="S516" s="251">
        <f>SUMIFS('tuot-rehukirjanpito'!D:D,'tuot-rehukirjanpito'!A:A,A516)</f>
        <v>0</v>
      </c>
      <c r="T516" s="254">
        <f t="shared" si="140"/>
        <v>1098.9000000000001</v>
      </c>
      <c r="U516" s="254">
        <f t="shared" si="141"/>
        <v>1098.8999999999999</v>
      </c>
      <c r="V516" s="252">
        <f t="shared" si="142"/>
        <v>-564834.60000000545</v>
      </c>
      <c r="W516" s="255">
        <f t="shared" si="143"/>
        <v>-514.00000000000489</v>
      </c>
      <c r="X516" s="256" t="str">
        <f t="shared" si="147"/>
        <v/>
      </c>
      <c r="Y516" s="256" t="str">
        <f t="shared" si="148"/>
        <v/>
      </c>
      <c r="Z516" s="224" t="str">
        <f>IF(IFERROR(INDEX('tuot-rehukirjanpito'!I:I,MATCH(A516,'tuot-rehukirjanpito'!G:G,0)),)=0,"",INDEX('tuot-rehukirjanpito'!I:I,MATCH(A516,'tuot-rehukirjanpito'!G:G,0)))</f>
        <v/>
      </c>
      <c r="AA516" s="224">
        <f>SUMIFS('tuot-INFO'!$K$10:$K$115,'tuot-INFO'!$A$10:$A$115,'tuot-PVÄ'!B516)</f>
        <v>66.3</v>
      </c>
      <c r="AB516" s="224">
        <f>SUMIFS('rehu-vesi-INFO'!$R:$R,'rehu-vesi-INFO'!$A:$A,'tuot-PVÄ'!B516)</f>
        <v>1744</v>
      </c>
      <c r="AC516" s="224">
        <f>SUMIFS('rehu-vesi-INFO'!$S:$S,'rehu-vesi-INFO'!$A:$A,'tuot-PVÄ'!B516)</f>
        <v>1851</v>
      </c>
      <c r="AD516" s="224">
        <f t="shared" ref="AD516:AD579" si="150">AC516-AB516</f>
        <v>107</v>
      </c>
      <c r="AE516" s="224">
        <f t="shared" ref="AE516:AE579" si="151">K516/10</f>
        <v>0</v>
      </c>
      <c r="AF516" s="224">
        <f t="shared" ref="AF516:AF579" si="152">AB516/10</f>
        <v>174.4</v>
      </c>
      <c r="AG516" s="224">
        <f t="shared" ref="AG516:AG579" si="153">AD516/10</f>
        <v>10.7</v>
      </c>
      <c r="AH516" s="257">
        <f t="shared" si="138"/>
        <v>0</v>
      </c>
      <c r="AI516" s="258">
        <f t="shared" si="139"/>
        <v>0</v>
      </c>
      <c r="AJ516" s="55">
        <f>SUMIFS('tuot-INFO'!W:W,'tuot-INFO'!$A:$A,'tuot-PVÄ'!B516)</f>
        <v>65.472000000000008</v>
      </c>
      <c r="AK516" s="55">
        <f>SUMIFS('tuot-INFO'!X:X,'tuot-INFO'!$A:$A,'tuot-PVÄ'!B516)</f>
        <v>7.039999999999992</v>
      </c>
    </row>
    <row r="517" spans="1:37" x14ac:dyDescent="0.25">
      <c r="A517" s="169">
        <f t="shared" ref="A517:A580" si="154">A516+1</f>
        <v>43003</v>
      </c>
      <c r="B517" s="23">
        <f>ROUNDUP((A517-Yleistiedot!$B$4)/7,0)</f>
        <v>91</v>
      </c>
      <c r="C517" s="16"/>
      <c r="D517" s="25"/>
      <c r="E517" s="25"/>
      <c r="F517" s="25"/>
      <c r="G517" s="25"/>
      <c r="H517" s="25"/>
      <c r="I517" s="65">
        <f t="shared" si="149"/>
        <v>0</v>
      </c>
      <c r="J517" s="26"/>
      <c r="K517" s="25"/>
      <c r="L517" s="16"/>
      <c r="M517" s="16"/>
      <c r="N517" s="25"/>
      <c r="O517" s="30"/>
      <c r="P517" s="252">
        <f t="shared" si="144"/>
        <v>9990</v>
      </c>
      <c r="Q517" s="253">
        <f t="shared" si="145"/>
        <v>0</v>
      </c>
      <c r="R517" s="253">
        <f t="shared" si="146"/>
        <v>0</v>
      </c>
      <c r="S517" s="251">
        <f>SUMIFS('tuot-rehukirjanpito'!D:D,'tuot-rehukirjanpito'!A:A,A517)</f>
        <v>0</v>
      </c>
      <c r="T517" s="254">
        <f t="shared" si="140"/>
        <v>1098.9000000000001</v>
      </c>
      <c r="U517" s="254">
        <f t="shared" si="141"/>
        <v>1098.8999999999999</v>
      </c>
      <c r="V517" s="252">
        <f t="shared" si="142"/>
        <v>-565933.50000000547</v>
      </c>
      <c r="W517" s="255">
        <f t="shared" si="143"/>
        <v>-515.00000000000489</v>
      </c>
      <c r="X517" s="256" t="str">
        <f t="shared" si="147"/>
        <v/>
      </c>
      <c r="Y517" s="256" t="str">
        <f t="shared" si="148"/>
        <v/>
      </c>
      <c r="Z517" s="224" t="str">
        <f>IF(IFERROR(INDEX('tuot-rehukirjanpito'!I:I,MATCH(A517,'tuot-rehukirjanpito'!G:G,0)),)=0,"",INDEX('tuot-rehukirjanpito'!I:I,MATCH(A517,'tuot-rehukirjanpito'!G:G,0)))</f>
        <v/>
      </c>
      <c r="AA517" s="224">
        <f>SUMIFS('tuot-INFO'!$K$10:$K$115,'tuot-INFO'!$A$10:$A$115,'tuot-PVÄ'!B517)</f>
        <v>66.3</v>
      </c>
      <c r="AB517" s="224">
        <f>SUMIFS('rehu-vesi-INFO'!$R:$R,'rehu-vesi-INFO'!$A:$A,'tuot-PVÄ'!B517)</f>
        <v>1744</v>
      </c>
      <c r="AC517" s="224">
        <f>SUMIFS('rehu-vesi-INFO'!$S:$S,'rehu-vesi-INFO'!$A:$A,'tuot-PVÄ'!B517)</f>
        <v>1851</v>
      </c>
      <c r="AD517" s="224">
        <f t="shared" si="150"/>
        <v>107</v>
      </c>
      <c r="AE517" s="224">
        <f t="shared" si="151"/>
        <v>0</v>
      </c>
      <c r="AF517" s="224">
        <f t="shared" si="152"/>
        <v>174.4</v>
      </c>
      <c r="AG517" s="224">
        <f t="shared" si="153"/>
        <v>10.7</v>
      </c>
      <c r="AH517" s="257">
        <f t="shared" si="138"/>
        <v>0</v>
      </c>
      <c r="AI517" s="258">
        <f t="shared" si="139"/>
        <v>0</v>
      </c>
      <c r="AJ517" s="55">
        <f>SUMIFS('tuot-INFO'!W:W,'tuot-INFO'!$A:$A,'tuot-PVÄ'!B517)</f>
        <v>65.472000000000008</v>
      </c>
      <c r="AK517" s="55">
        <f>SUMIFS('tuot-INFO'!X:X,'tuot-INFO'!$A:$A,'tuot-PVÄ'!B517)</f>
        <v>7.039999999999992</v>
      </c>
    </row>
    <row r="518" spans="1:37" x14ac:dyDescent="0.25">
      <c r="A518" s="169">
        <f t="shared" si="154"/>
        <v>43004</v>
      </c>
      <c r="B518" s="23">
        <f>ROUNDUP((A518-Yleistiedot!$B$4)/7,0)</f>
        <v>91</v>
      </c>
      <c r="C518" s="16"/>
      <c r="D518" s="25"/>
      <c r="E518" s="25"/>
      <c r="F518" s="25"/>
      <c r="G518" s="25"/>
      <c r="H518" s="25"/>
      <c r="I518" s="65">
        <f t="shared" si="149"/>
        <v>0</v>
      </c>
      <c r="J518" s="26"/>
      <c r="K518" s="25"/>
      <c r="L518" s="16"/>
      <c r="M518" s="16"/>
      <c r="N518" s="25"/>
      <c r="O518" s="30"/>
      <c r="P518" s="252">
        <f t="shared" si="144"/>
        <v>9990</v>
      </c>
      <c r="Q518" s="253">
        <f t="shared" si="145"/>
        <v>0</v>
      </c>
      <c r="R518" s="253">
        <f t="shared" si="146"/>
        <v>0</v>
      </c>
      <c r="S518" s="251">
        <f>SUMIFS('tuot-rehukirjanpito'!D:D,'tuot-rehukirjanpito'!A:A,A518)</f>
        <v>0</v>
      </c>
      <c r="T518" s="254">
        <f t="shared" si="140"/>
        <v>1098.9000000000001</v>
      </c>
      <c r="U518" s="254">
        <f t="shared" si="141"/>
        <v>1098.8999999999999</v>
      </c>
      <c r="V518" s="252">
        <f t="shared" si="142"/>
        <v>-567032.40000000549</v>
      </c>
      <c r="W518" s="255">
        <f t="shared" si="143"/>
        <v>-516.000000000005</v>
      </c>
      <c r="X518" s="256" t="str">
        <f t="shared" si="147"/>
        <v/>
      </c>
      <c r="Y518" s="256" t="str">
        <f t="shared" si="148"/>
        <v/>
      </c>
      <c r="Z518" s="224" t="str">
        <f>IF(IFERROR(INDEX('tuot-rehukirjanpito'!I:I,MATCH(A518,'tuot-rehukirjanpito'!G:G,0)),)=0,"",INDEX('tuot-rehukirjanpito'!I:I,MATCH(A518,'tuot-rehukirjanpito'!G:G,0)))</f>
        <v/>
      </c>
      <c r="AA518" s="224">
        <f>SUMIFS('tuot-INFO'!$K$10:$K$115,'tuot-INFO'!$A$10:$A$115,'tuot-PVÄ'!B518)</f>
        <v>66.3</v>
      </c>
      <c r="AB518" s="224">
        <f>SUMIFS('rehu-vesi-INFO'!$R:$R,'rehu-vesi-INFO'!$A:$A,'tuot-PVÄ'!B518)</f>
        <v>1744</v>
      </c>
      <c r="AC518" s="224">
        <f>SUMIFS('rehu-vesi-INFO'!$S:$S,'rehu-vesi-INFO'!$A:$A,'tuot-PVÄ'!B518)</f>
        <v>1851</v>
      </c>
      <c r="AD518" s="224">
        <f t="shared" si="150"/>
        <v>107</v>
      </c>
      <c r="AE518" s="224">
        <f t="shared" si="151"/>
        <v>0</v>
      </c>
      <c r="AF518" s="224">
        <f t="shared" si="152"/>
        <v>174.4</v>
      </c>
      <c r="AG518" s="224">
        <f t="shared" si="153"/>
        <v>10.7</v>
      </c>
      <c r="AH518" s="257">
        <f t="shared" ref="AH518:AH581" si="155">IFERROR(AVERAGE(L516:L518),)</f>
        <v>0</v>
      </c>
      <c r="AI518" s="258">
        <f t="shared" ref="AI518:AI581" si="156">AVERAGE(Q517+R517,Q518+R518,Q516+R516)</f>
        <v>0</v>
      </c>
      <c r="AJ518" s="55">
        <f>SUMIFS('tuot-INFO'!W:W,'tuot-INFO'!$A:$A,'tuot-PVÄ'!B518)</f>
        <v>65.472000000000008</v>
      </c>
      <c r="AK518" s="55">
        <f>SUMIFS('tuot-INFO'!X:X,'tuot-INFO'!$A:$A,'tuot-PVÄ'!B518)</f>
        <v>7.039999999999992</v>
      </c>
    </row>
    <row r="519" spans="1:37" x14ac:dyDescent="0.25">
      <c r="A519" s="169">
        <f t="shared" si="154"/>
        <v>43005</v>
      </c>
      <c r="B519" s="23">
        <f>ROUNDUP((A519-Yleistiedot!$B$4)/7,0)</f>
        <v>91</v>
      </c>
      <c r="C519" s="16"/>
      <c r="D519" s="25"/>
      <c r="E519" s="25"/>
      <c r="F519" s="25"/>
      <c r="G519" s="25"/>
      <c r="H519" s="25"/>
      <c r="I519" s="65">
        <f t="shared" si="149"/>
        <v>0</v>
      </c>
      <c r="J519" s="26"/>
      <c r="K519" s="25"/>
      <c r="L519" s="16"/>
      <c r="M519" s="16"/>
      <c r="N519" s="25"/>
      <c r="O519" s="30"/>
      <c r="P519" s="252">
        <f t="shared" si="144"/>
        <v>9990</v>
      </c>
      <c r="Q519" s="253">
        <f t="shared" si="145"/>
        <v>0</v>
      </c>
      <c r="R519" s="253">
        <f t="shared" si="146"/>
        <v>0</v>
      </c>
      <c r="S519" s="251">
        <f>SUMIFS('tuot-rehukirjanpito'!D:D,'tuot-rehukirjanpito'!A:A,A519)</f>
        <v>0</v>
      </c>
      <c r="T519" s="254">
        <f t="shared" si="140"/>
        <v>1098.9000000000001</v>
      </c>
      <c r="U519" s="254">
        <f t="shared" si="141"/>
        <v>1098.8999999999999</v>
      </c>
      <c r="V519" s="252">
        <f t="shared" si="142"/>
        <v>-568131.30000000552</v>
      </c>
      <c r="W519" s="255">
        <f t="shared" si="143"/>
        <v>-517.000000000005</v>
      </c>
      <c r="X519" s="256" t="str">
        <f t="shared" si="147"/>
        <v/>
      </c>
      <c r="Y519" s="256" t="str">
        <f t="shared" si="148"/>
        <v/>
      </c>
      <c r="Z519" s="224" t="str">
        <f>IF(IFERROR(INDEX('tuot-rehukirjanpito'!I:I,MATCH(A519,'tuot-rehukirjanpito'!G:G,0)),)=0,"",INDEX('tuot-rehukirjanpito'!I:I,MATCH(A519,'tuot-rehukirjanpito'!G:G,0)))</f>
        <v/>
      </c>
      <c r="AA519" s="224">
        <f>SUMIFS('tuot-INFO'!$K$10:$K$115,'tuot-INFO'!$A$10:$A$115,'tuot-PVÄ'!B519)</f>
        <v>66.3</v>
      </c>
      <c r="AB519" s="224">
        <f>SUMIFS('rehu-vesi-INFO'!$R:$R,'rehu-vesi-INFO'!$A:$A,'tuot-PVÄ'!B519)</f>
        <v>1744</v>
      </c>
      <c r="AC519" s="224">
        <f>SUMIFS('rehu-vesi-INFO'!$S:$S,'rehu-vesi-INFO'!$A:$A,'tuot-PVÄ'!B519)</f>
        <v>1851</v>
      </c>
      <c r="AD519" s="224">
        <f t="shared" si="150"/>
        <v>107</v>
      </c>
      <c r="AE519" s="224">
        <f t="shared" si="151"/>
        <v>0</v>
      </c>
      <c r="AF519" s="224">
        <f t="shared" si="152"/>
        <v>174.4</v>
      </c>
      <c r="AG519" s="224">
        <f t="shared" si="153"/>
        <v>10.7</v>
      </c>
      <c r="AH519" s="257">
        <f t="shared" si="155"/>
        <v>0</v>
      </c>
      <c r="AI519" s="258">
        <f t="shared" si="156"/>
        <v>0</v>
      </c>
      <c r="AJ519" s="55">
        <f>SUMIFS('tuot-INFO'!W:W,'tuot-INFO'!$A:$A,'tuot-PVÄ'!B519)</f>
        <v>65.472000000000008</v>
      </c>
      <c r="AK519" s="55">
        <f>SUMIFS('tuot-INFO'!X:X,'tuot-INFO'!$A:$A,'tuot-PVÄ'!B519)</f>
        <v>7.039999999999992</v>
      </c>
    </row>
    <row r="520" spans="1:37" x14ac:dyDescent="0.25">
      <c r="A520" s="169">
        <f t="shared" si="154"/>
        <v>43006</v>
      </c>
      <c r="B520" s="23">
        <f>ROUNDUP((A520-Yleistiedot!$B$4)/7,0)</f>
        <v>91</v>
      </c>
      <c r="C520" s="16"/>
      <c r="D520" s="25"/>
      <c r="E520" s="25"/>
      <c r="F520" s="25"/>
      <c r="G520" s="25"/>
      <c r="H520" s="25"/>
      <c r="I520" s="65">
        <f t="shared" si="149"/>
        <v>0</v>
      </c>
      <c r="J520" s="26"/>
      <c r="K520" s="25"/>
      <c r="L520" s="16"/>
      <c r="M520" s="16"/>
      <c r="N520" s="25"/>
      <c r="O520" s="30"/>
      <c r="P520" s="252">
        <f t="shared" si="144"/>
        <v>9990</v>
      </c>
      <c r="Q520" s="253">
        <f t="shared" si="145"/>
        <v>0</v>
      </c>
      <c r="R520" s="253">
        <f t="shared" si="146"/>
        <v>0</v>
      </c>
      <c r="S520" s="251">
        <f>SUMIFS('tuot-rehukirjanpito'!D:D,'tuot-rehukirjanpito'!A:A,A520)</f>
        <v>0</v>
      </c>
      <c r="T520" s="254">
        <f t="shared" ref="T520:T583" si="157">IF(L520&gt;0,P520*L520/1000,T519)</f>
        <v>1098.9000000000001</v>
      </c>
      <c r="U520" s="254">
        <f t="shared" ref="U520:U583" si="158">IFERROR(AVERAGEIF(T514:T520,"&lt;&gt;0"),0)</f>
        <v>1098.8999999999999</v>
      </c>
      <c r="V520" s="252">
        <f t="shared" ref="V520:V583" si="159">V519+S520-T520</f>
        <v>-569230.20000000554</v>
      </c>
      <c r="W520" s="255">
        <f t="shared" ref="W520:W583" si="160">IFERROR(V520/T520,"")</f>
        <v>-518.000000000005</v>
      </c>
      <c r="X520" s="256" t="str">
        <f t="shared" si="147"/>
        <v/>
      </c>
      <c r="Y520" s="256" t="str">
        <f t="shared" si="148"/>
        <v/>
      </c>
      <c r="Z520" s="224" t="str">
        <f>IF(IFERROR(INDEX('tuot-rehukirjanpito'!I:I,MATCH(A520,'tuot-rehukirjanpito'!G:G,0)),)=0,"",INDEX('tuot-rehukirjanpito'!I:I,MATCH(A520,'tuot-rehukirjanpito'!G:G,0)))</f>
        <v/>
      </c>
      <c r="AA520" s="224">
        <f>SUMIFS('tuot-INFO'!$K$10:$K$115,'tuot-INFO'!$A$10:$A$115,'tuot-PVÄ'!B520)</f>
        <v>66.3</v>
      </c>
      <c r="AB520" s="224">
        <f>SUMIFS('rehu-vesi-INFO'!$R:$R,'rehu-vesi-INFO'!$A:$A,'tuot-PVÄ'!B520)</f>
        <v>1744</v>
      </c>
      <c r="AC520" s="224">
        <f>SUMIFS('rehu-vesi-INFO'!$S:$S,'rehu-vesi-INFO'!$A:$A,'tuot-PVÄ'!B520)</f>
        <v>1851</v>
      </c>
      <c r="AD520" s="224">
        <f t="shared" si="150"/>
        <v>107</v>
      </c>
      <c r="AE520" s="224">
        <f t="shared" si="151"/>
        <v>0</v>
      </c>
      <c r="AF520" s="224">
        <f t="shared" si="152"/>
        <v>174.4</v>
      </c>
      <c r="AG520" s="224">
        <f t="shared" si="153"/>
        <v>10.7</v>
      </c>
      <c r="AH520" s="257">
        <f t="shared" si="155"/>
        <v>0</v>
      </c>
      <c r="AI520" s="258">
        <f t="shared" si="156"/>
        <v>0</v>
      </c>
      <c r="AJ520" s="55">
        <f>SUMIFS('tuot-INFO'!W:W,'tuot-INFO'!$A:$A,'tuot-PVÄ'!B520)</f>
        <v>65.472000000000008</v>
      </c>
      <c r="AK520" s="55">
        <f>SUMIFS('tuot-INFO'!X:X,'tuot-INFO'!$A:$A,'tuot-PVÄ'!B520)</f>
        <v>7.039999999999992</v>
      </c>
    </row>
    <row r="521" spans="1:37" x14ac:dyDescent="0.25">
      <c r="A521" s="169">
        <f t="shared" si="154"/>
        <v>43007</v>
      </c>
      <c r="B521" s="23">
        <f>ROUNDUP((A521-Yleistiedot!$B$4)/7,0)</f>
        <v>91</v>
      </c>
      <c r="C521" s="16"/>
      <c r="D521" s="25"/>
      <c r="E521" s="25"/>
      <c r="F521" s="25"/>
      <c r="G521" s="25"/>
      <c r="H521" s="25"/>
      <c r="I521" s="65">
        <f t="shared" si="149"/>
        <v>0</v>
      </c>
      <c r="J521" s="26"/>
      <c r="K521" s="25"/>
      <c r="L521" s="16"/>
      <c r="M521" s="16"/>
      <c r="N521" s="25"/>
      <c r="O521" s="30"/>
      <c r="P521" s="252">
        <f t="shared" si="144"/>
        <v>9990</v>
      </c>
      <c r="Q521" s="253">
        <f t="shared" si="145"/>
        <v>0</v>
      </c>
      <c r="R521" s="253">
        <f t="shared" si="146"/>
        <v>0</v>
      </c>
      <c r="S521" s="251">
        <f>SUMIFS('tuot-rehukirjanpito'!D:D,'tuot-rehukirjanpito'!A:A,A521)</f>
        <v>0</v>
      </c>
      <c r="T521" s="254">
        <f t="shared" si="157"/>
        <v>1098.9000000000001</v>
      </c>
      <c r="U521" s="254">
        <f t="shared" si="158"/>
        <v>1098.8999999999999</v>
      </c>
      <c r="V521" s="252">
        <f t="shared" si="159"/>
        <v>-570329.10000000556</v>
      </c>
      <c r="W521" s="255">
        <f t="shared" si="160"/>
        <v>-519.000000000005</v>
      </c>
      <c r="X521" s="256" t="str">
        <f t="shared" si="147"/>
        <v/>
      </c>
      <c r="Y521" s="256" t="str">
        <f t="shared" si="148"/>
        <v/>
      </c>
      <c r="Z521" s="224" t="str">
        <f>IF(IFERROR(INDEX('tuot-rehukirjanpito'!I:I,MATCH(A521,'tuot-rehukirjanpito'!G:G,0)),)=0,"",INDEX('tuot-rehukirjanpito'!I:I,MATCH(A521,'tuot-rehukirjanpito'!G:G,0)))</f>
        <v/>
      </c>
      <c r="AA521" s="224">
        <f>SUMIFS('tuot-INFO'!$K$10:$K$115,'tuot-INFO'!$A$10:$A$115,'tuot-PVÄ'!B521)</f>
        <v>66.3</v>
      </c>
      <c r="AB521" s="224">
        <f>SUMIFS('rehu-vesi-INFO'!$R:$R,'rehu-vesi-INFO'!$A:$A,'tuot-PVÄ'!B521)</f>
        <v>1744</v>
      </c>
      <c r="AC521" s="224">
        <f>SUMIFS('rehu-vesi-INFO'!$S:$S,'rehu-vesi-INFO'!$A:$A,'tuot-PVÄ'!B521)</f>
        <v>1851</v>
      </c>
      <c r="AD521" s="224">
        <f t="shared" si="150"/>
        <v>107</v>
      </c>
      <c r="AE521" s="224">
        <f t="shared" si="151"/>
        <v>0</v>
      </c>
      <c r="AF521" s="224">
        <f t="shared" si="152"/>
        <v>174.4</v>
      </c>
      <c r="AG521" s="224">
        <f t="shared" si="153"/>
        <v>10.7</v>
      </c>
      <c r="AH521" s="257">
        <f t="shared" si="155"/>
        <v>0</v>
      </c>
      <c r="AI521" s="258">
        <f t="shared" si="156"/>
        <v>0</v>
      </c>
      <c r="AJ521" s="55">
        <f>SUMIFS('tuot-INFO'!W:W,'tuot-INFO'!$A:$A,'tuot-PVÄ'!B521)</f>
        <v>65.472000000000008</v>
      </c>
      <c r="AK521" s="55">
        <f>SUMIFS('tuot-INFO'!X:X,'tuot-INFO'!$A:$A,'tuot-PVÄ'!B521)</f>
        <v>7.039999999999992</v>
      </c>
    </row>
    <row r="522" spans="1:37" x14ac:dyDescent="0.25">
      <c r="A522" s="169">
        <f t="shared" si="154"/>
        <v>43008</v>
      </c>
      <c r="B522" s="23">
        <f>ROUNDUP((A522-Yleistiedot!$B$4)/7,0)</f>
        <v>92</v>
      </c>
      <c r="C522" s="16"/>
      <c r="D522" s="25"/>
      <c r="E522" s="25"/>
      <c r="F522" s="25"/>
      <c r="G522" s="25"/>
      <c r="H522" s="25"/>
      <c r="I522" s="65">
        <f t="shared" si="149"/>
        <v>0</v>
      </c>
      <c r="J522" s="26"/>
      <c r="K522" s="25"/>
      <c r="L522" s="16"/>
      <c r="M522" s="16"/>
      <c r="N522" s="25"/>
      <c r="O522" s="30"/>
      <c r="P522" s="252">
        <f t="shared" si="144"/>
        <v>9990</v>
      </c>
      <c r="Q522" s="253">
        <f t="shared" si="145"/>
        <v>0</v>
      </c>
      <c r="R522" s="253">
        <f t="shared" si="146"/>
        <v>0</v>
      </c>
      <c r="S522" s="251">
        <f>SUMIFS('tuot-rehukirjanpito'!D:D,'tuot-rehukirjanpito'!A:A,A522)</f>
        <v>0</v>
      </c>
      <c r="T522" s="254">
        <f t="shared" si="157"/>
        <v>1098.9000000000001</v>
      </c>
      <c r="U522" s="254">
        <f t="shared" si="158"/>
        <v>1098.8999999999999</v>
      </c>
      <c r="V522" s="252">
        <f t="shared" si="159"/>
        <v>-571428.00000000559</v>
      </c>
      <c r="W522" s="255">
        <f t="shared" si="160"/>
        <v>-520.000000000005</v>
      </c>
      <c r="X522" s="256" t="str">
        <f t="shared" si="147"/>
        <v/>
      </c>
      <c r="Y522" s="256" t="str">
        <f t="shared" si="148"/>
        <v/>
      </c>
      <c r="Z522" s="224" t="str">
        <f>IF(IFERROR(INDEX('tuot-rehukirjanpito'!I:I,MATCH(A522,'tuot-rehukirjanpito'!G:G,0)),)=0,"",INDEX('tuot-rehukirjanpito'!I:I,MATCH(A522,'tuot-rehukirjanpito'!G:G,0)))</f>
        <v/>
      </c>
      <c r="AA522" s="224">
        <f>SUMIFS('tuot-INFO'!$K$10:$K$115,'tuot-INFO'!$A$10:$A$115,'tuot-PVÄ'!B522)</f>
        <v>66.3</v>
      </c>
      <c r="AB522" s="224">
        <f>SUMIFS('rehu-vesi-INFO'!$R:$R,'rehu-vesi-INFO'!$A:$A,'tuot-PVÄ'!B522)</f>
        <v>1744</v>
      </c>
      <c r="AC522" s="224">
        <f>SUMIFS('rehu-vesi-INFO'!$S:$S,'rehu-vesi-INFO'!$A:$A,'tuot-PVÄ'!B522)</f>
        <v>1852</v>
      </c>
      <c r="AD522" s="224">
        <f t="shared" si="150"/>
        <v>108</v>
      </c>
      <c r="AE522" s="224">
        <f t="shared" si="151"/>
        <v>0</v>
      </c>
      <c r="AF522" s="224">
        <f t="shared" si="152"/>
        <v>174.4</v>
      </c>
      <c r="AG522" s="224">
        <f t="shared" si="153"/>
        <v>10.8</v>
      </c>
      <c r="AH522" s="257">
        <f t="shared" si="155"/>
        <v>0</v>
      </c>
      <c r="AI522" s="258">
        <f t="shared" si="156"/>
        <v>0</v>
      </c>
      <c r="AJ522" s="55">
        <f>SUMIFS('tuot-INFO'!W:W,'tuot-INFO'!$A:$A,'tuot-PVÄ'!B522)</f>
        <v>64.820999999999998</v>
      </c>
      <c r="AK522" s="55">
        <f>SUMIFS('tuot-INFO'!X:X,'tuot-INFO'!$A:$A,'tuot-PVÄ'!B522)</f>
        <v>6.9699999999999989</v>
      </c>
    </row>
    <row r="523" spans="1:37" x14ac:dyDescent="0.25">
      <c r="A523" s="169">
        <f t="shared" si="154"/>
        <v>43009</v>
      </c>
      <c r="B523" s="23">
        <f>ROUNDUP((A523-Yleistiedot!$B$4)/7,0)</f>
        <v>92</v>
      </c>
      <c r="C523" s="16"/>
      <c r="D523" s="25"/>
      <c r="E523" s="25"/>
      <c r="F523" s="25"/>
      <c r="G523" s="25"/>
      <c r="H523" s="25"/>
      <c r="I523" s="65">
        <f t="shared" si="149"/>
        <v>0</v>
      </c>
      <c r="J523" s="26"/>
      <c r="K523" s="25"/>
      <c r="L523" s="16"/>
      <c r="M523" s="16"/>
      <c r="N523" s="25"/>
      <c r="O523" s="30"/>
      <c r="P523" s="252">
        <f t="shared" si="144"/>
        <v>9990</v>
      </c>
      <c r="Q523" s="253">
        <f t="shared" si="145"/>
        <v>0</v>
      </c>
      <c r="R523" s="253">
        <f t="shared" si="146"/>
        <v>0</v>
      </c>
      <c r="S523" s="251">
        <f>SUMIFS('tuot-rehukirjanpito'!D:D,'tuot-rehukirjanpito'!A:A,A523)</f>
        <v>0</v>
      </c>
      <c r="T523" s="254">
        <f t="shared" si="157"/>
        <v>1098.9000000000001</v>
      </c>
      <c r="U523" s="254">
        <f t="shared" si="158"/>
        <v>1098.8999999999999</v>
      </c>
      <c r="V523" s="252">
        <f t="shared" si="159"/>
        <v>-572526.90000000561</v>
      </c>
      <c r="W523" s="255">
        <f t="shared" si="160"/>
        <v>-521.00000000000512</v>
      </c>
      <c r="X523" s="256" t="str">
        <f t="shared" si="147"/>
        <v/>
      </c>
      <c r="Y523" s="256" t="str">
        <f t="shared" si="148"/>
        <v/>
      </c>
      <c r="Z523" s="224" t="str">
        <f>IF(IFERROR(INDEX('tuot-rehukirjanpito'!I:I,MATCH(A523,'tuot-rehukirjanpito'!G:G,0)),)=0,"",INDEX('tuot-rehukirjanpito'!I:I,MATCH(A523,'tuot-rehukirjanpito'!G:G,0)))</f>
        <v/>
      </c>
      <c r="AA523" s="224">
        <f>SUMIFS('tuot-INFO'!$K$10:$K$115,'tuot-INFO'!$A$10:$A$115,'tuot-PVÄ'!B523)</f>
        <v>66.3</v>
      </c>
      <c r="AB523" s="224">
        <f>SUMIFS('rehu-vesi-INFO'!$R:$R,'rehu-vesi-INFO'!$A:$A,'tuot-PVÄ'!B523)</f>
        <v>1744</v>
      </c>
      <c r="AC523" s="224">
        <f>SUMIFS('rehu-vesi-INFO'!$S:$S,'rehu-vesi-INFO'!$A:$A,'tuot-PVÄ'!B523)</f>
        <v>1852</v>
      </c>
      <c r="AD523" s="224">
        <f t="shared" si="150"/>
        <v>108</v>
      </c>
      <c r="AE523" s="224">
        <f t="shared" si="151"/>
        <v>0</v>
      </c>
      <c r="AF523" s="224">
        <f t="shared" si="152"/>
        <v>174.4</v>
      </c>
      <c r="AG523" s="224">
        <f t="shared" si="153"/>
        <v>10.8</v>
      </c>
      <c r="AH523" s="257">
        <f t="shared" si="155"/>
        <v>0</v>
      </c>
      <c r="AI523" s="258">
        <f t="shared" si="156"/>
        <v>0</v>
      </c>
      <c r="AJ523" s="55">
        <f>SUMIFS('tuot-INFO'!W:W,'tuot-INFO'!$A:$A,'tuot-PVÄ'!B523)</f>
        <v>64.820999999999998</v>
      </c>
      <c r="AK523" s="55">
        <f>SUMIFS('tuot-INFO'!X:X,'tuot-INFO'!$A:$A,'tuot-PVÄ'!B523)</f>
        <v>6.9699999999999989</v>
      </c>
    </row>
    <row r="524" spans="1:37" x14ac:dyDescent="0.25">
      <c r="A524" s="169">
        <f t="shared" si="154"/>
        <v>43010</v>
      </c>
      <c r="B524" s="23">
        <f>ROUNDUP((A524-Yleistiedot!$B$4)/7,0)</f>
        <v>92</v>
      </c>
      <c r="C524" s="16"/>
      <c r="D524" s="25"/>
      <c r="E524" s="25"/>
      <c r="F524" s="25"/>
      <c r="G524" s="25"/>
      <c r="H524" s="25"/>
      <c r="I524" s="65">
        <f t="shared" si="149"/>
        <v>0</v>
      </c>
      <c r="J524" s="26"/>
      <c r="K524" s="25"/>
      <c r="L524" s="16"/>
      <c r="M524" s="16"/>
      <c r="N524" s="25"/>
      <c r="O524" s="30"/>
      <c r="P524" s="252">
        <f t="shared" si="144"/>
        <v>9990</v>
      </c>
      <c r="Q524" s="253">
        <f t="shared" si="145"/>
        <v>0</v>
      </c>
      <c r="R524" s="253">
        <f t="shared" si="146"/>
        <v>0</v>
      </c>
      <c r="S524" s="251">
        <f>SUMIFS('tuot-rehukirjanpito'!D:D,'tuot-rehukirjanpito'!A:A,A524)</f>
        <v>0</v>
      </c>
      <c r="T524" s="254">
        <f t="shared" si="157"/>
        <v>1098.9000000000001</v>
      </c>
      <c r="U524" s="254">
        <f t="shared" si="158"/>
        <v>1098.8999999999999</v>
      </c>
      <c r="V524" s="252">
        <f t="shared" si="159"/>
        <v>-573625.80000000563</v>
      </c>
      <c r="W524" s="255">
        <f t="shared" si="160"/>
        <v>-522.00000000000512</v>
      </c>
      <c r="X524" s="256" t="str">
        <f t="shared" si="147"/>
        <v/>
      </c>
      <c r="Y524" s="256" t="str">
        <f t="shared" si="148"/>
        <v/>
      </c>
      <c r="Z524" s="224" t="str">
        <f>IF(IFERROR(INDEX('tuot-rehukirjanpito'!I:I,MATCH(A524,'tuot-rehukirjanpito'!G:G,0)),)=0,"",INDEX('tuot-rehukirjanpito'!I:I,MATCH(A524,'tuot-rehukirjanpito'!G:G,0)))</f>
        <v/>
      </c>
      <c r="AA524" s="224">
        <f>SUMIFS('tuot-INFO'!$K$10:$K$115,'tuot-INFO'!$A$10:$A$115,'tuot-PVÄ'!B524)</f>
        <v>66.3</v>
      </c>
      <c r="AB524" s="224">
        <f>SUMIFS('rehu-vesi-INFO'!$R:$R,'rehu-vesi-INFO'!$A:$A,'tuot-PVÄ'!B524)</f>
        <v>1744</v>
      </c>
      <c r="AC524" s="224">
        <f>SUMIFS('rehu-vesi-INFO'!$S:$S,'rehu-vesi-INFO'!$A:$A,'tuot-PVÄ'!B524)</f>
        <v>1852</v>
      </c>
      <c r="AD524" s="224">
        <f t="shared" si="150"/>
        <v>108</v>
      </c>
      <c r="AE524" s="224">
        <f t="shared" si="151"/>
        <v>0</v>
      </c>
      <c r="AF524" s="224">
        <f t="shared" si="152"/>
        <v>174.4</v>
      </c>
      <c r="AG524" s="224">
        <f t="shared" si="153"/>
        <v>10.8</v>
      </c>
      <c r="AH524" s="257">
        <f t="shared" si="155"/>
        <v>0</v>
      </c>
      <c r="AI524" s="258">
        <f t="shared" si="156"/>
        <v>0</v>
      </c>
      <c r="AJ524" s="55">
        <f>SUMIFS('tuot-INFO'!W:W,'tuot-INFO'!$A:$A,'tuot-PVÄ'!B524)</f>
        <v>64.820999999999998</v>
      </c>
      <c r="AK524" s="55">
        <f>SUMIFS('tuot-INFO'!X:X,'tuot-INFO'!$A:$A,'tuot-PVÄ'!B524)</f>
        <v>6.9699999999999989</v>
      </c>
    </row>
    <row r="525" spans="1:37" x14ac:dyDescent="0.25">
      <c r="A525" s="169">
        <f t="shared" si="154"/>
        <v>43011</v>
      </c>
      <c r="B525" s="23">
        <f>ROUNDUP((A525-Yleistiedot!$B$4)/7,0)</f>
        <v>92</v>
      </c>
      <c r="C525" s="16"/>
      <c r="D525" s="25"/>
      <c r="E525" s="25"/>
      <c r="F525" s="25"/>
      <c r="G525" s="25"/>
      <c r="H525" s="25"/>
      <c r="I525" s="65">
        <f t="shared" si="149"/>
        <v>0</v>
      </c>
      <c r="J525" s="26"/>
      <c r="K525" s="25"/>
      <c r="L525" s="16"/>
      <c r="M525" s="16"/>
      <c r="N525" s="25"/>
      <c r="O525" s="30"/>
      <c r="P525" s="252">
        <f t="shared" si="144"/>
        <v>9990</v>
      </c>
      <c r="Q525" s="253">
        <f t="shared" si="145"/>
        <v>0</v>
      </c>
      <c r="R525" s="253">
        <f t="shared" si="146"/>
        <v>0</v>
      </c>
      <c r="S525" s="251">
        <f>SUMIFS('tuot-rehukirjanpito'!D:D,'tuot-rehukirjanpito'!A:A,A525)</f>
        <v>0</v>
      </c>
      <c r="T525" s="254">
        <f t="shared" si="157"/>
        <v>1098.9000000000001</v>
      </c>
      <c r="U525" s="254">
        <f t="shared" si="158"/>
        <v>1098.8999999999999</v>
      </c>
      <c r="V525" s="252">
        <f t="shared" si="159"/>
        <v>-574724.70000000566</v>
      </c>
      <c r="W525" s="255">
        <f t="shared" si="160"/>
        <v>-523.00000000000512</v>
      </c>
      <c r="X525" s="256" t="str">
        <f t="shared" si="147"/>
        <v/>
      </c>
      <c r="Y525" s="256" t="str">
        <f t="shared" si="148"/>
        <v/>
      </c>
      <c r="Z525" s="224" t="str">
        <f>IF(IFERROR(INDEX('tuot-rehukirjanpito'!I:I,MATCH(A525,'tuot-rehukirjanpito'!G:G,0)),)=0,"",INDEX('tuot-rehukirjanpito'!I:I,MATCH(A525,'tuot-rehukirjanpito'!G:G,0)))</f>
        <v/>
      </c>
      <c r="AA525" s="224">
        <f>SUMIFS('tuot-INFO'!$K$10:$K$115,'tuot-INFO'!$A$10:$A$115,'tuot-PVÄ'!B525)</f>
        <v>66.3</v>
      </c>
      <c r="AB525" s="224">
        <f>SUMIFS('rehu-vesi-INFO'!$R:$R,'rehu-vesi-INFO'!$A:$A,'tuot-PVÄ'!B525)</f>
        <v>1744</v>
      </c>
      <c r="AC525" s="224">
        <f>SUMIFS('rehu-vesi-INFO'!$S:$S,'rehu-vesi-INFO'!$A:$A,'tuot-PVÄ'!B525)</f>
        <v>1852</v>
      </c>
      <c r="AD525" s="224">
        <f t="shared" si="150"/>
        <v>108</v>
      </c>
      <c r="AE525" s="224">
        <f t="shared" si="151"/>
        <v>0</v>
      </c>
      <c r="AF525" s="224">
        <f t="shared" si="152"/>
        <v>174.4</v>
      </c>
      <c r="AG525" s="224">
        <f t="shared" si="153"/>
        <v>10.8</v>
      </c>
      <c r="AH525" s="257">
        <f t="shared" si="155"/>
        <v>0</v>
      </c>
      <c r="AI525" s="258">
        <f t="shared" si="156"/>
        <v>0</v>
      </c>
      <c r="AJ525" s="55">
        <f>SUMIFS('tuot-INFO'!W:W,'tuot-INFO'!$A:$A,'tuot-PVÄ'!B525)</f>
        <v>64.820999999999998</v>
      </c>
      <c r="AK525" s="55">
        <f>SUMIFS('tuot-INFO'!X:X,'tuot-INFO'!$A:$A,'tuot-PVÄ'!B525)</f>
        <v>6.9699999999999989</v>
      </c>
    </row>
    <row r="526" spans="1:37" x14ac:dyDescent="0.25">
      <c r="A526" s="169">
        <f t="shared" si="154"/>
        <v>43012</v>
      </c>
      <c r="B526" s="23">
        <f>ROUNDUP((A526-Yleistiedot!$B$4)/7,0)</f>
        <v>92</v>
      </c>
      <c r="C526" s="16"/>
      <c r="D526" s="25"/>
      <c r="E526" s="25"/>
      <c r="F526" s="25"/>
      <c r="G526" s="25"/>
      <c r="H526" s="25"/>
      <c r="I526" s="65">
        <f t="shared" si="149"/>
        <v>0</v>
      </c>
      <c r="J526" s="26"/>
      <c r="K526" s="25"/>
      <c r="L526" s="16"/>
      <c r="M526" s="16"/>
      <c r="N526" s="25"/>
      <c r="O526" s="30"/>
      <c r="P526" s="252">
        <f t="shared" si="144"/>
        <v>9990</v>
      </c>
      <c r="Q526" s="253">
        <f t="shared" si="145"/>
        <v>0</v>
      </c>
      <c r="R526" s="253">
        <f t="shared" si="146"/>
        <v>0</v>
      </c>
      <c r="S526" s="251">
        <f>SUMIFS('tuot-rehukirjanpito'!D:D,'tuot-rehukirjanpito'!A:A,A526)</f>
        <v>0</v>
      </c>
      <c r="T526" s="254">
        <f t="shared" si="157"/>
        <v>1098.9000000000001</v>
      </c>
      <c r="U526" s="254">
        <f t="shared" si="158"/>
        <v>1098.8999999999999</v>
      </c>
      <c r="V526" s="252">
        <f t="shared" si="159"/>
        <v>-575823.60000000568</v>
      </c>
      <c r="W526" s="255">
        <f t="shared" si="160"/>
        <v>-524.00000000000512</v>
      </c>
      <c r="X526" s="256" t="str">
        <f t="shared" si="147"/>
        <v/>
      </c>
      <c r="Y526" s="256" t="str">
        <f t="shared" si="148"/>
        <v/>
      </c>
      <c r="Z526" s="224" t="str">
        <f>IF(IFERROR(INDEX('tuot-rehukirjanpito'!I:I,MATCH(A526,'tuot-rehukirjanpito'!G:G,0)),)=0,"",INDEX('tuot-rehukirjanpito'!I:I,MATCH(A526,'tuot-rehukirjanpito'!G:G,0)))</f>
        <v/>
      </c>
      <c r="AA526" s="224">
        <f>SUMIFS('tuot-INFO'!$K$10:$K$115,'tuot-INFO'!$A$10:$A$115,'tuot-PVÄ'!B526)</f>
        <v>66.3</v>
      </c>
      <c r="AB526" s="224">
        <f>SUMIFS('rehu-vesi-INFO'!$R:$R,'rehu-vesi-INFO'!$A:$A,'tuot-PVÄ'!B526)</f>
        <v>1744</v>
      </c>
      <c r="AC526" s="224">
        <f>SUMIFS('rehu-vesi-INFO'!$S:$S,'rehu-vesi-INFO'!$A:$A,'tuot-PVÄ'!B526)</f>
        <v>1852</v>
      </c>
      <c r="AD526" s="224">
        <f t="shared" si="150"/>
        <v>108</v>
      </c>
      <c r="AE526" s="224">
        <f t="shared" si="151"/>
        <v>0</v>
      </c>
      <c r="AF526" s="224">
        <f t="shared" si="152"/>
        <v>174.4</v>
      </c>
      <c r="AG526" s="224">
        <f t="shared" si="153"/>
        <v>10.8</v>
      </c>
      <c r="AH526" s="257">
        <f t="shared" si="155"/>
        <v>0</v>
      </c>
      <c r="AI526" s="258">
        <f t="shared" si="156"/>
        <v>0</v>
      </c>
      <c r="AJ526" s="55">
        <f>SUMIFS('tuot-INFO'!W:W,'tuot-INFO'!$A:$A,'tuot-PVÄ'!B526)</f>
        <v>64.820999999999998</v>
      </c>
      <c r="AK526" s="55">
        <f>SUMIFS('tuot-INFO'!X:X,'tuot-INFO'!$A:$A,'tuot-PVÄ'!B526)</f>
        <v>6.9699999999999989</v>
      </c>
    </row>
    <row r="527" spans="1:37" x14ac:dyDescent="0.25">
      <c r="A527" s="169">
        <f t="shared" si="154"/>
        <v>43013</v>
      </c>
      <c r="B527" s="23">
        <f>ROUNDUP((A527-Yleistiedot!$B$4)/7,0)</f>
        <v>92</v>
      </c>
      <c r="C527" s="16"/>
      <c r="D527" s="25"/>
      <c r="E527" s="25"/>
      <c r="F527" s="25"/>
      <c r="G527" s="25"/>
      <c r="H527" s="25"/>
      <c r="I527" s="65">
        <f t="shared" si="149"/>
        <v>0</v>
      </c>
      <c r="J527" s="26"/>
      <c r="K527" s="25"/>
      <c r="L527" s="16"/>
      <c r="M527" s="16"/>
      <c r="N527" s="25"/>
      <c r="O527" s="30"/>
      <c r="P527" s="252">
        <f t="shared" si="144"/>
        <v>9990</v>
      </c>
      <c r="Q527" s="253">
        <f t="shared" si="145"/>
        <v>0</v>
      </c>
      <c r="R527" s="253">
        <f t="shared" si="146"/>
        <v>0</v>
      </c>
      <c r="S527" s="251">
        <f>SUMIFS('tuot-rehukirjanpito'!D:D,'tuot-rehukirjanpito'!A:A,A527)</f>
        <v>0</v>
      </c>
      <c r="T527" s="254">
        <f t="shared" si="157"/>
        <v>1098.9000000000001</v>
      </c>
      <c r="U527" s="254">
        <f t="shared" si="158"/>
        <v>1098.8999999999999</v>
      </c>
      <c r="V527" s="252">
        <f t="shared" si="159"/>
        <v>-576922.5000000057</v>
      </c>
      <c r="W527" s="255">
        <f t="shared" si="160"/>
        <v>-525.00000000000512</v>
      </c>
      <c r="X527" s="256" t="str">
        <f t="shared" si="147"/>
        <v/>
      </c>
      <c r="Y527" s="256" t="str">
        <f t="shared" si="148"/>
        <v/>
      </c>
      <c r="Z527" s="224" t="str">
        <f>IF(IFERROR(INDEX('tuot-rehukirjanpito'!I:I,MATCH(A527,'tuot-rehukirjanpito'!G:G,0)),)=0,"",INDEX('tuot-rehukirjanpito'!I:I,MATCH(A527,'tuot-rehukirjanpito'!G:G,0)))</f>
        <v/>
      </c>
      <c r="AA527" s="224">
        <f>SUMIFS('tuot-INFO'!$K$10:$K$115,'tuot-INFO'!$A$10:$A$115,'tuot-PVÄ'!B527)</f>
        <v>66.3</v>
      </c>
      <c r="AB527" s="224">
        <f>SUMIFS('rehu-vesi-INFO'!$R:$R,'rehu-vesi-INFO'!$A:$A,'tuot-PVÄ'!B527)</f>
        <v>1744</v>
      </c>
      <c r="AC527" s="224">
        <f>SUMIFS('rehu-vesi-INFO'!$S:$S,'rehu-vesi-INFO'!$A:$A,'tuot-PVÄ'!B527)</f>
        <v>1852</v>
      </c>
      <c r="AD527" s="224">
        <f t="shared" si="150"/>
        <v>108</v>
      </c>
      <c r="AE527" s="224">
        <f t="shared" si="151"/>
        <v>0</v>
      </c>
      <c r="AF527" s="224">
        <f t="shared" si="152"/>
        <v>174.4</v>
      </c>
      <c r="AG527" s="224">
        <f t="shared" si="153"/>
        <v>10.8</v>
      </c>
      <c r="AH527" s="257">
        <f t="shared" si="155"/>
        <v>0</v>
      </c>
      <c r="AI527" s="258">
        <f t="shared" si="156"/>
        <v>0</v>
      </c>
      <c r="AJ527" s="55">
        <f>SUMIFS('tuot-INFO'!W:W,'tuot-INFO'!$A:$A,'tuot-PVÄ'!B527)</f>
        <v>64.820999999999998</v>
      </c>
      <c r="AK527" s="55">
        <f>SUMIFS('tuot-INFO'!X:X,'tuot-INFO'!$A:$A,'tuot-PVÄ'!B527)</f>
        <v>6.9699999999999989</v>
      </c>
    </row>
    <row r="528" spans="1:37" x14ac:dyDescent="0.25">
      <c r="A528" s="169">
        <f t="shared" si="154"/>
        <v>43014</v>
      </c>
      <c r="B528" s="23">
        <f>ROUNDUP((A528-Yleistiedot!$B$4)/7,0)</f>
        <v>92</v>
      </c>
      <c r="C528" s="16"/>
      <c r="D528" s="25"/>
      <c r="E528" s="25"/>
      <c r="F528" s="25"/>
      <c r="G528" s="25"/>
      <c r="H528" s="25"/>
      <c r="I528" s="65">
        <f t="shared" si="149"/>
        <v>0</v>
      </c>
      <c r="J528" s="26"/>
      <c r="K528" s="25"/>
      <c r="L528" s="16"/>
      <c r="M528" s="16"/>
      <c r="N528" s="25"/>
      <c r="O528" s="30"/>
      <c r="P528" s="252">
        <f t="shared" si="144"/>
        <v>9990</v>
      </c>
      <c r="Q528" s="253">
        <f t="shared" si="145"/>
        <v>0</v>
      </c>
      <c r="R528" s="253">
        <f t="shared" si="146"/>
        <v>0</v>
      </c>
      <c r="S528" s="251">
        <f>SUMIFS('tuot-rehukirjanpito'!D:D,'tuot-rehukirjanpito'!A:A,A528)</f>
        <v>0</v>
      </c>
      <c r="T528" s="254">
        <f t="shared" si="157"/>
        <v>1098.9000000000001</v>
      </c>
      <c r="U528" s="254">
        <f t="shared" si="158"/>
        <v>1098.8999999999999</v>
      </c>
      <c r="V528" s="252">
        <f t="shared" si="159"/>
        <v>-578021.40000000573</v>
      </c>
      <c r="W528" s="255">
        <f t="shared" si="160"/>
        <v>-526.00000000000512</v>
      </c>
      <c r="X528" s="256" t="str">
        <f t="shared" si="147"/>
        <v/>
      </c>
      <c r="Y528" s="256" t="str">
        <f t="shared" si="148"/>
        <v/>
      </c>
      <c r="Z528" s="224" t="str">
        <f>IF(IFERROR(INDEX('tuot-rehukirjanpito'!I:I,MATCH(A528,'tuot-rehukirjanpito'!G:G,0)),)=0,"",INDEX('tuot-rehukirjanpito'!I:I,MATCH(A528,'tuot-rehukirjanpito'!G:G,0)))</f>
        <v/>
      </c>
      <c r="AA528" s="224">
        <f>SUMIFS('tuot-INFO'!$K$10:$K$115,'tuot-INFO'!$A$10:$A$115,'tuot-PVÄ'!B528)</f>
        <v>66.3</v>
      </c>
      <c r="AB528" s="224">
        <f>SUMIFS('rehu-vesi-INFO'!$R:$R,'rehu-vesi-INFO'!$A:$A,'tuot-PVÄ'!B528)</f>
        <v>1744</v>
      </c>
      <c r="AC528" s="224">
        <f>SUMIFS('rehu-vesi-INFO'!$S:$S,'rehu-vesi-INFO'!$A:$A,'tuot-PVÄ'!B528)</f>
        <v>1852</v>
      </c>
      <c r="AD528" s="224">
        <f t="shared" si="150"/>
        <v>108</v>
      </c>
      <c r="AE528" s="224">
        <f t="shared" si="151"/>
        <v>0</v>
      </c>
      <c r="AF528" s="224">
        <f t="shared" si="152"/>
        <v>174.4</v>
      </c>
      <c r="AG528" s="224">
        <f t="shared" si="153"/>
        <v>10.8</v>
      </c>
      <c r="AH528" s="257">
        <f t="shared" si="155"/>
        <v>0</v>
      </c>
      <c r="AI528" s="258">
        <f t="shared" si="156"/>
        <v>0</v>
      </c>
      <c r="AJ528" s="55">
        <f>SUMIFS('tuot-INFO'!W:W,'tuot-INFO'!$A:$A,'tuot-PVÄ'!B528)</f>
        <v>64.820999999999998</v>
      </c>
      <c r="AK528" s="55">
        <f>SUMIFS('tuot-INFO'!X:X,'tuot-INFO'!$A:$A,'tuot-PVÄ'!B528)</f>
        <v>6.9699999999999989</v>
      </c>
    </row>
    <row r="529" spans="1:37" x14ac:dyDescent="0.25">
      <c r="A529" s="169">
        <f t="shared" si="154"/>
        <v>43015</v>
      </c>
      <c r="B529" s="23">
        <f>ROUNDUP((A529-Yleistiedot!$B$4)/7,0)</f>
        <v>93</v>
      </c>
      <c r="C529" s="16"/>
      <c r="D529" s="25"/>
      <c r="E529" s="25"/>
      <c r="F529" s="25"/>
      <c r="G529" s="25"/>
      <c r="H529" s="25"/>
      <c r="I529" s="65">
        <f t="shared" si="149"/>
        <v>0</v>
      </c>
      <c r="J529" s="26"/>
      <c r="K529" s="25"/>
      <c r="L529" s="16"/>
      <c r="M529" s="16"/>
      <c r="N529" s="25"/>
      <c r="O529" s="30"/>
      <c r="P529" s="252">
        <f t="shared" si="144"/>
        <v>9990</v>
      </c>
      <c r="Q529" s="253">
        <f t="shared" si="145"/>
        <v>0</v>
      </c>
      <c r="R529" s="253">
        <f t="shared" si="146"/>
        <v>0</v>
      </c>
      <c r="S529" s="251">
        <f>SUMIFS('tuot-rehukirjanpito'!D:D,'tuot-rehukirjanpito'!A:A,A529)</f>
        <v>0</v>
      </c>
      <c r="T529" s="254">
        <f t="shared" si="157"/>
        <v>1098.9000000000001</v>
      </c>
      <c r="U529" s="254">
        <f t="shared" si="158"/>
        <v>1098.8999999999999</v>
      </c>
      <c r="V529" s="252">
        <f t="shared" si="159"/>
        <v>-579120.30000000575</v>
      </c>
      <c r="W529" s="255">
        <f t="shared" si="160"/>
        <v>-527.00000000000523</v>
      </c>
      <c r="X529" s="256" t="str">
        <f t="shared" si="147"/>
        <v/>
      </c>
      <c r="Y529" s="256" t="str">
        <f t="shared" si="148"/>
        <v/>
      </c>
      <c r="Z529" s="224" t="str">
        <f>IF(IFERROR(INDEX('tuot-rehukirjanpito'!I:I,MATCH(A529,'tuot-rehukirjanpito'!G:G,0)),)=0,"",INDEX('tuot-rehukirjanpito'!I:I,MATCH(A529,'tuot-rehukirjanpito'!G:G,0)))</f>
        <v/>
      </c>
      <c r="AA529" s="224">
        <f>SUMIFS('tuot-INFO'!$K$10:$K$115,'tuot-INFO'!$A$10:$A$115,'tuot-PVÄ'!B529)</f>
        <v>66.3</v>
      </c>
      <c r="AB529" s="224">
        <f>SUMIFS('rehu-vesi-INFO'!$R:$R,'rehu-vesi-INFO'!$A:$A,'tuot-PVÄ'!B529)</f>
        <v>1745</v>
      </c>
      <c r="AC529" s="224">
        <f>SUMIFS('rehu-vesi-INFO'!$S:$S,'rehu-vesi-INFO'!$A:$A,'tuot-PVÄ'!B529)</f>
        <v>1852</v>
      </c>
      <c r="AD529" s="224">
        <f t="shared" si="150"/>
        <v>107</v>
      </c>
      <c r="AE529" s="224">
        <f t="shared" si="151"/>
        <v>0</v>
      </c>
      <c r="AF529" s="224">
        <f t="shared" si="152"/>
        <v>174.5</v>
      </c>
      <c r="AG529" s="224">
        <f t="shared" si="153"/>
        <v>10.7</v>
      </c>
      <c r="AH529" s="257">
        <f t="shared" si="155"/>
        <v>0</v>
      </c>
      <c r="AI529" s="258">
        <f t="shared" si="156"/>
        <v>0</v>
      </c>
      <c r="AJ529" s="55">
        <f>SUMIFS('tuot-INFO'!W:W,'tuot-INFO'!$A:$A,'tuot-PVÄ'!B529)</f>
        <v>64.17</v>
      </c>
      <c r="AK529" s="55">
        <f>SUMIFS('tuot-INFO'!X:X,'tuot-INFO'!$A:$A,'tuot-PVÄ'!B529)</f>
        <v>6.8999999999999915</v>
      </c>
    </row>
    <row r="530" spans="1:37" x14ac:dyDescent="0.25">
      <c r="A530" s="169">
        <f t="shared" si="154"/>
        <v>43016</v>
      </c>
      <c r="B530" s="23">
        <f>ROUNDUP((A530-Yleistiedot!$B$4)/7,0)</f>
        <v>93</v>
      </c>
      <c r="C530" s="16"/>
      <c r="D530" s="25"/>
      <c r="E530" s="25"/>
      <c r="F530" s="25"/>
      <c r="G530" s="25"/>
      <c r="H530" s="25"/>
      <c r="I530" s="65">
        <f t="shared" si="149"/>
        <v>0</v>
      </c>
      <c r="J530" s="26"/>
      <c r="K530" s="25"/>
      <c r="L530" s="16"/>
      <c r="M530" s="16"/>
      <c r="N530" s="25"/>
      <c r="O530" s="30"/>
      <c r="P530" s="252">
        <f t="shared" si="144"/>
        <v>9990</v>
      </c>
      <c r="Q530" s="253">
        <f t="shared" si="145"/>
        <v>0</v>
      </c>
      <c r="R530" s="253">
        <f t="shared" si="146"/>
        <v>0</v>
      </c>
      <c r="S530" s="251">
        <f>SUMIFS('tuot-rehukirjanpito'!D:D,'tuot-rehukirjanpito'!A:A,A530)</f>
        <v>0</v>
      </c>
      <c r="T530" s="254">
        <f t="shared" si="157"/>
        <v>1098.9000000000001</v>
      </c>
      <c r="U530" s="254">
        <f t="shared" si="158"/>
        <v>1098.8999999999999</v>
      </c>
      <c r="V530" s="252">
        <f t="shared" si="159"/>
        <v>-580219.20000000577</v>
      </c>
      <c r="W530" s="255">
        <f t="shared" si="160"/>
        <v>-528.00000000000523</v>
      </c>
      <c r="X530" s="256" t="str">
        <f t="shared" si="147"/>
        <v/>
      </c>
      <c r="Y530" s="256" t="str">
        <f t="shared" si="148"/>
        <v/>
      </c>
      <c r="Z530" s="224" t="str">
        <f>IF(IFERROR(INDEX('tuot-rehukirjanpito'!I:I,MATCH(A530,'tuot-rehukirjanpito'!G:G,0)),)=0,"",INDEX('tuot-rehukirjanpito'!I:I,MATCH(A530,'tuot-rehukirjanpito'!G:G,0)))</f>
        <v/>
      </c>
      <c r="AA530" s="224">
        <f>SUMIFS('tuot-INFO'!$K$10:$K$115,'tuot-INFO'!$A$10:$A$115,'tuot-PVÄ'!B530)</f>
        <v>66.3</v>
      </c>
      <c r="AB530" s="224">
        <f>SUMIFS('rehu-vesi-INFO'!$R:$R,'rehu-vesi-INFO'!$A:$A,'tuot-PVÄ'!B530)</f>
        <v>1745</v>
      </c>
      <c r="AC530" s="224">
        <f>SUMIFS('rehu-vesi-INFO'!$S:$S,'rehu-vesi-INFO'!$A:$A,'tuot-PVÄ'!B530)</f>
        <v>1852</v>
      </c>
      <c r="AD530" s="224">
        <f t="shared" si="150"/>
        <v>107</v>
      </c>
      <c r="AE530" s="224">
        <f t="shared" si="151"/>
        <v>0</v>
      </c>
      <c r="AF530" s="224">
        <f t="shared" si="152"/>
        <v>174.5</v>
      </c>
      <c r="AG530" s="224">
        <f t="shared" si="153"/>
        <v>10.7</v>
      </c>
      <c r="AH530" s="257">
        <f t="shared" si="155"/>
        <v>0</v>
      </c>
      <c r="AI530" s="258">
        <f t="shared" si="156"/>
        <v>0</v>
      </c>
      <c r="AJ530" s="55">
        <f>SUMIFS('tuot-INFO'!W:W,'tuot-INFO'!$A:$A,'tuot-PVÄ'!B530)</f>
        <v>64.17</v>
      </c>
      <c r="AK530" s="55">
        <f>SUMIFS('tuot-INFO'!X:X,'tuot-INFO'!$A:$A,'tuot-PVÄ'!B530)</f>
        <v>6.8999999999999915</v>
      </c>
    </row>
    <row r="531" spans="1:37" x14ac:dyDescent="0.25">
      <c r="A531" s="169">
        <f t="shared" si="154"/>
        <v>43017</v>
      </c>
      <c r="B531" s="23">
        <f>ROUNDUP((A531-Yleistiedot!$B$4)/7,0)</f>
        <v>93</v>
      </c>
      <c r="C531" s="16"/>
      <c r="D531" s="25"/>
      <c r="E531" s="25"/>
      <c r="F531" s="25"/>
      <c r="G531" s="25"/>
      <c r="H531" s="25"/>
      <c r="I531" s="65">
        <f t="shared" si="149"/>
        <v>0</v>
      </c>
      <c r="J531" s="26"/>
      <c r="K531" s="25"/>
      <c r="L531" s="16"/>
      <c r="M531" s="16"/>
      <c r="N531" s="25"/>
      <c r="O531" s="30"/>
      <c r="P531" s="252">
        <f t="shared" ref="P531:P594" si="161">P530-C531</f>
        <v>9990</v>
      </c>
      <c r="Q531" s="253">
        <f t="shared" ref="Q531:Q594" si="162">D531/P531*100</f>
        <v>0</v>
      </c>
      <c r="R531" s="253">
        <f t="shared" ref="R531:R594" si="163">I531/P531*100</f>
        <v>0</v>
      </c>
      <c r="S531" s="251">
        <f>SUMIFS('tuot-rehukirjanpito'!D:D,'tuot-rehukirjanpito'!A:A,A531)</f>
        <v>0</v>
      </c>
      <c r="T531" s="254">
        <f t="shared" si="157"/>
        <v>1098.9000000000001</v>
      </c>
      <c r="U531" s="254">
        <f t="shared" si="158"/>
        <v>1098.8999999999999</v>
      </c>
      <c r="V531" s="252">
        <f t="shared" si="159"/>
        <v>-581318.1000000058</v>
      </c>
      <c r="W531" s="255">
        <f t="shared" si="160"/>
        <v>-529.00000000000523</v>
      </c>
      <c r="X531" s="256" t="str">
        <f t="shared" si="147"/>
        <v/>
      </c>
      <c r="Y531" s="256" t="str">
        <f t="shared" si="148"/>
        <v/>
      </c>
      <c r="Z531" s="224" t="str">
        <f>IF(IFERROR(INDEX('tuot-rehukirjanpito'!I:I,MATCH(A531,'tuot-rehukirjanpito'!G:G,0)),)=0,"",INDEX('tuot-rehukirjanpito'!I:I,MATCH(A531,'tuot-rehukirjanpito'!G:G,0)))</f>
        <v/>
      </c>
      <c r="AA531" s="224">
        <f>SUMIFS('tuot-INFO'!$K$10:$K$115,'tuot-INFO'!$A$10:$A$115,'tuot-PVÄ'!B531)</f>
        <v>66.3</v>
      </c>
      <c r="AB531" s="224">
        <f>SUMIFS('rehu-vesi-INFO'!$R:$R,'rehu-vesi-INFO'!$A:$A,'tuot-PVÄ'!B531)</f>
        <v>1745</v>
      </c>
      <c r="AC531" s="224">
        <f>SUMIFS('rehu-vesi-INFO'!$S:$S,'rehu-vesi-INFO'!$A:$A,'tuot-PVÄ'!B531)</f>
        <v>1852</v>
      </c>
      <c r="AD531" s="224">
        <f t="shared" si="150"/>
        <v>107</v>
      </c>
      <c r="AE531" s="224">
        <f t="shared" si="151"/>
        <v>0</v>
      </c>
      <c r="AF531" s="224">
        <f t="shared" si="152"/>
        <v>174.5</v>
      </c>
      <c r="AG531" s="224">
        <f t="shared" si="153"/>
        <v>10.7</v>
      </c>
      <c r="AH531" s="257">
        <f t="shared" si="155"/>
        <v>0</v>
      </c>
      <c r="AI531" s="258">
        <f t="shared" si="156"/>
        <v>0</v>
      </c>
      <c r="AJ531" s="55">
        <f>SUMIFS('tuot-INFO'!W:W,'tuot-INFO'!$A:$A,'tuot-PVÄ'!B531)</f>
        <v>64.17</v>
      </c>
      <c r="AK531" s="55">
        <f>SUMIFS('tuot-INFO'!X:X,'tuot-INFO'!$A:$A,'tuot-PVÄ'!B531)</f>
        <v>6.8999999999999915</v>
      </c>
    </row>
    <row r="532" spans="1:37" x14ac:dyDescent="0.25">
      <c r="A532" s="169">
        <f t="shared" si="154"/>
        <v>43018</v>
      </c>
      <c r="B532" s="23">
        <f>ROUNDUP((A532-Yleistiedot!$B$4)/7,0)</f>
        <v>93</v>
      </c>
      <c r="C532" s="16"/>
      <c r="D532" s="25"/>
      <c r="E532" s="25"/>
      <c r="F532" s="25"/>
      <c r="G532" s="25"/>
      <c r="H532" s="25"/>
      <c r="I532" s="65">
        <f t="shared" si="149"/>
        <v>0</v>
      </c>
      <c r="J532" s="26"/>
      <c r="K532" s="25"/>
      <c r="L532" s="16"/>
      <c r="M532" s="16"/>
      <c r="N532" s="25"/>
      <c r="O532" s="30"/>
      <c r="P532" s="252">
        <f t="shared" si="161"/>
        <v>9990</v>
      </c>
      <c r="Q532" s="253">
        <f t="shared" si="162"/>
        <v>0</v>
      </c>
      <c r="R532" s="253">
        <f t="shared" si="163"/>
        <v>0</v>
      </c>
      <c r="S532" s="251">
        <f>SUMIFS('tuot-rehukirjanpito'!D:D,'tuot-rehukirjanpito'!A:A,A532)</f>
        <v>0</v>
      </c>
      <c r="T532" s="254">
        <f t="shared" si="157"/>
        <v>1098.9000000000001</v>
      </c>
      <c r="U532" s="254">
        <f t="shared" si="158"/>
        <v>1098.8999999999999</v>
      </c>
      <c r="V532" s="252">
        <f t="shared" si="159"/>
        <v>-582417.00000000582</v>
      </c>
      <c r="W532" s="255">
        <f t="shared" si="160"/>
        <v>-530.00000000000523</v>
      </c>
      <c r="X532" s="256" t="str">
        <f t="shared" si="147"/>
        <v/>
      </c>
      <c r="Y532" s="256" t="str">
        <f t="shared" si="148"/>
        <v/>
      </c>
      <c r="Z532" s="224" t="str">
        <f>IF(IFERROR(INDEX('tuot-rehukirjanpito'!I:I,MATCH(A532,'tuot-rehukirjanpito'!G:G,0)),)=0,"",INDEX('tuot-rehukirjanpito'!I:I,MATCH(A532,'tuot-rehukirjanpito'!G:G,0)))</f>
        <v/>
      </c>
      <c r="AA532" s="224">
        <f>SUMIFS('tuot-INFO'!$K$10:$K$115,'tuot-INFO'!$A$10:$A$115,'tuot-PVÄ'!B532)</f>
        <v>66.3</v>
      </c>
      <c r="AB532" s="224">
        <f>SUMIFS('rehu-vesi-INFO'!$R:$R,'rehu-vesi-INFO'!$A:$A,'tuot-PVÄ'!B532)</f>
        <v>1745</v>
      </c>
      <c r="AC532" s="224">
        <f>SUMIFS('rehu-vesi-INFO'!$S:$S,'rehu-vesi-INFO'!$A:$A,'tuot-PVÄ'!B532)</f>
        <v>1852</v>
      </c>
      <c r="AD532" s="224">
        <f t="shared" si="150"/>
        <v>107</v>
      </c>
      <c r="AE532" s="224">
        <f t="shared" si="151"/>
        <v>0</v>
      </c>
      <c r="AF532" s="224">
        <f t="shared" si="152"/>
        <v>174.5</v>
      </c>
      <c r="AG532" s="224">
        <f t="shared" si="153"/>
        <v>10.7</v>
      </c>
      <c r="AH532" s="257">
        <f t="shared" si="155"/>
        <v>0</v>
      </c>
      <c r="AI532" s="258">
        <f t="shared" si="156"/>
        <v>0</v>
      </c>
      <c r="AJ532" s="55">
        <f>SUMIFS('tuot-INFO'!W:W,'tuot-INFO'!$A:$A,'tuot-PVÄ'!B532)</f>
        <v>64.17</v>
      </c>
      <c r="AK532" s="55">
        <f>SUMIFS('tuot-INFO'!X:X,'tuot-INFO'!$A:$A,'tuot-PVÄ'!B532)</f>
        <v>6.8999999999999915</v>
      </c>
    </row>
    <row r="533" spans="1:37" x14ac:dyDescent="0.25">
      <c r="A533" s="169">
        <f t="shared" si="154"/>
        <v>43019</v>
      </c>
      <c r="B533" s="23">
        <f>ROUNDUP((A533-Yleistiedot!$B$4)/7,0)</f>
        <v>93</v>
      </c>
      <c r="C533" s="16"/>
      <c r="D533" s="25"/>
      <c r="E533" s="25"/>
      <c r="F533" s="25"/>
      <c r="G533" s="25"/>
      <c r="H533" s="25"/>
      <c r="I533" s="65">
        <f t="shared" si="149"/>
        <v>0</v>
      </c>
      <c r="J533" s="26"/>
      <c r="K533" s="25"/>
      <c r="L533" s="16"/>
      <c r="M533" s="16"/>
      <c r="N533" s="25"/>
      <c r="O533" s="30"/>
      <c r="P533" s="252">
        <f t="shared" si="161"/>
        <v>9990</v>
      </c>
      <c r="Q533" s="253">
        <f t="shared" si="162"/>
        <v>0</v>
      </c>
      <c r="R533" s="253">
        <f t="shared" si="163"/>
        <v>0</v>
      </c>
      <c r="S533" s="251">
        <f>SUMIFS('tuot-rehukirjanpito'!D:D,'tuot-rehukirjanpito'!A:A,A533)</f>
        <v>0</v>
      </c>
      <c r="T533" s="254">
        <f t="shared" si="157"/>
        <v>1098.9000000000001</v>
      </c>
      <c r="U533" s="254">
        <f t="shared" si="158"/>
        <v>1098.8999999999999</v>
      </c>
      <c r="V533" s="252">
        <f t="shared" si="159"/>
        <v>-583515.90000000584</v>
      </c>
      <c r="W533" s="255">
        <f t="shared" si="160"/>
        <v>-531.00000000000523</v>
      </c>
      <c r="X533" s="256" t="str">
        <f t="shared" si="147"/>
        <v/>
      </c>
      <c r="Y533" s="256" t="str">
        <f t="shared" si="148"/>
        <v/>
      </c>
      <c r="Z533" s="224" t="str">
        <f>IF(IFERROR(INDEX('tuot-rehukirjanpito'!I:I,MATCH(A533,'tuot-rehukirjanpito'!G:G,0)),)=0,"",INDEX('tuot-rehukirjanpito'!I:I,MATCH(A533,'tuot-rehukirjanpito'!G:G,0)))</f>
        <v/>
      </c>
      <c r="AA533" s="224">
        <f>SUMIFS('tuot-INFO'!$K$10:$K$115,'tuot-INFO'!$A$10:$A$115,'tuot-PVÄ'!B533)</f>
        <v>66.3</v>
      </c>
      <c r="AB533" s="224">
        <f>SUMIFS('rehu-vesi-INFO'!$R:$R,'rehu-vesi-INFO'!$A:$A,'tuot-PVÄ'!B533)</f>
        <v>1745</v>
      </c>
      <c r="AC533" s="224">
        <f>SUMIFS('rehu-vesi-INFO'!$S:$S,'rehu-vesi-INFO'!$A:$A,'tuot-PVÄ'!B533)</f>
        <v>1852</v>
      </c>
      <c r="AD533" s="224">
        <f t="shared" si="150"/>
        <v>107</v>
      </c>
      <c r="AE533" s="224">
        <f t="shared" si="151"/>
        <v>0</v>
      </c>
      <c r="AF533" s="224">
        <f t="shared" si="152"/>
        <v>174.5</v>
      </c>
      <c r="AG533" s="224">
        <f t="shared" si="153"/>
        <v>10.7</v>
      </c>
      <c r="AH533" s="257">
        <f t="shared" si="155"/>
        <v>0</v>
      </c>
      <c r="AI533" s="258">
        <f t="shared" si="156"/>
        <v>0</v>
      </c>
      <c r="AJ533" s="55">
        <f>SUMIFS('tuot-INFO'!W:W,'tuot-INFO'!$A:$A,'tuot-PVÄ'!B533)</f>
        <v>64.17</v>
      </c>
      <c r="AK533" s="55">
        <f>SUMIFS('tuot-INFO'!X:X,'tuot-INFO'!$A:$A,'tuot-PVÄ'!B533)</f>
        <v>6.8999999999999915</v>
      </c>
    </row>
    <row r="534" spans="1:37" x14ac:dyDescent="0.25">
      <c r="A534" s="169">
        <f t="shared" si="154"/>
        <v>43020</v>
      </c>
      <c r="B534" s="23">
        <f>ROUNDUP((A534-Yleistiedot!$B$4)/7,0)</f>
        <v>93</v>
      </c>
      <c r="C534" s="16"/>
      <c r="D534" s="25"/>
      <c r="E534" s="25"/>
      <c r="F534" s="25"/>
      <c r="G534" s="25"/>
      <c r="H534" s="25"/>
      <c r="I534" s="65">
        <f t="shared" si="149"/>
        <v>0</v>
      </c>
      <c r="J534" s="26"/>
      <c r="K534" s="25"/>
      <c r="L534" s="16"/>
      <c r="M534" s="16"/>
      <c r="N534" s="25"/>
      <c r="O534" s="30"/>
      <c r="P534" s="252">
        <f t="shared" si="161"/>
        <v>9990</v>
      </c>
      <c r="Q534" s="253">
        <f t="shared" si="162"/>
        <v>0</v>
      </c>
      <c r="R534" s="253">
        <f t="shared" si="163"/>
        <v>0</v>
      </c>
      <c r="S534" s="251">
        <f>SUMIFS('tuot-rehukirjanpito'!D:D,'tuot-rehukirjanpito'!A:A,A534)</f>
        <v>0</v>
      </c>
      <c r="T534" s="254">
        <f t="shared" si="157"/>
        <v>1098.9000000000001</v>
      </c>
      <c r="U534" s="254">
        <f t="shared" si="158"/>
        <v>1098.8999999999999</v>
      </c>
      <c r="V534" s="252">
        <f t="shared" si="159"/>
        <v>-584614.80000000587</v>
      </c>
      <c r="W534" s="255">
        <f t="shared" si="160"/>
        <v>-532.00000000000534</v>
      </c>
      <c r="X534" s="256" t="str">
        <f t="shared" si="147"/>
        <v/>
      </c>
      <c r="Y534" s="256" t="str">
        <f t="shared" si="148"/>
        <v/>
      </c>
      <c r="Z534" s="224" t="str">
        <f>IF(IFERROR(INDEX('tuot-rehukirjanpito'!I:I,MATCH(A534,'tuot-rehukirjanpito'!G:G,0)),)=0,"",INDEX('tuot-rehukirjanpito'!I:I,MATCH(A534,'tuot-rehukirjanpito'!G:G,0)))</f>
        <v/>
      </c>
      <c r="AA534" s="224">
        <f>SUMIFS('tuot-INFO'!$K$10:$K$115,'tuot-INFO'!$A$10:$A$115,'tuot-PVÄ'!B534)</f>
        <v>66.3</v>
      </c>
      <c r="AB534" s="224">
        <f>SUMIFS('rehu-vesi-INFO'!$R:$R,'rehu-vesi-INFO'!$A:$A,'tuot-PVÄ'!B534)</f>
        <v>1745</v>
      </c>
      <c r="AC534" s="224">
        <f>SUMIFS('rehu-vesi-INFO'!$S:$S,'rehu-vesi-INFO'!$A:$A,'tuot-PVÄ'!B534)</f>
        <v>1852</v>
      </c>
      <c r="AD534" s="224">
        <f t="shared" si="150"/>
        <v>107</v>
      </c>
      <c r="AE534" s="224">
        <f t="shared" si="151"/>
        <v>0</v>
      </c>
      <c r="AF534" s="224">
        <f t="shared" si="152"/>
        <v>174.5</v>
      </c>
      <c r="AG534" s="224">
        <f t="shared" si="153"/>
        <v>10.7</v>
      </c>
      <c r="AH534" s="257">
        <f t="shared" si="155"/>
        <v>0</v>
      </c>
      <c r="AI534" s="258">
        <f t="shared" si="156"/>
        <v>0</v>
      </c>
      <c r="AJ534" s="55">
        <f>SUMIFS('tuot-INFO'!W:W,'tuot-INFO'!$A:$A,'tuot-PVÄ'!B534)</f>
        <v>64.17</v>
      </c>
      <c r="AK534" s="55">
        <f>SUMIFS('tuot-INFO'!X:X,'tuot-INFO'!$A:$A,'tuot-PVÄ'!B534)</f>
        <v>6.8999999999999915</v>
      </c>
    </row>
    <row r="535" spans="1:37" x14ac:dyDescent="0.25">
      <c r="A535" s="169">
        <f t="shared" si="154"/>
        <v>43021</v>
      </c>
      <c r="B535" s="23">
        <f>ROUNDUP((A535-Yleistiedot!$B$4)/7,0)</f>
        <v>93</v>
      </c>
      <c r="C535" s="16"/>
      <c r="D535" s="25"/>
      <c r="E535" s="25"/>
      <c r="F535" s="25"/>
      <c r="G535" s="25"/>
      <c r="H535" s="25"/>
      <c r="I535" s="65">
        <f t="shared" si="149"/>
        <v>0</v>
      </c>
      <c r="J535" s="26"/>
      <c r="K535" s="25"/>
      <c r="L535" s="16"/>
      <c r="M535" s="16"/>
      <c r="N535" s="25"/>
      <c r="O535" s="30"/>
      <c r="P535" s="252">
        <f t="shared" si="161"/>
        <v>9990</v>
      </c>
      <c r="Q535" s="253">
        <f t="shared" si="162"/>
        <v>0</v>
      </c>
      <c r="R535" s="253">
        <f t="shared" si="163"/>
        <v>0</v>
      </c>
      <c r="S535" s="251">
        <f>SUMIFS('tuot-rehukirjanpito'!D:D,'tuot-rehukirjanpito'!A:A,A535)</f>
        <v>0</v>
      </c>
      <c r="T535" s="254">
        <f t="shared" si="157"/>
        <v>1098.9000000000001</v>
      </c>
      <c r="U535" s="254">
        <f t="shared" si="158"/>
        <v>1098.8999999999999</v>
      </c>
      <c r="V535" s="252">
        <f t="shared" si="159"/>
        <v>-585713.70000000589</v>
      </c>
      <c r="W535" s="255">
        <f t="shared" si="160"/>
        <v>-533.00000000000534</v>
      </c>
      <c r="X535" s="256" t="str">
        <f t="shared" ref="X535:X598" si="164">IF(S535&lt;&gt;0,ROUND(A535+W534,0),"")</f>
        <v/>
      </c>
      <c r="Y535" s="256" t="str">
        <f t="shared" ref="Y535:Y598" si="165">IF(S535&lt;&gt;0,ROUND(A535+W535,0),"")</f>
        <v/>
      </c>
      <c r="Z535" s="224" t="str">
        <f>IF(IFERROR(INDEX('tuot-rehukirjanpito'!I:I,MATCH(A535,'tuot-rehukirjanpito'!G:G,0)),)=0,"",INDEX('tuot-rehukirjanpito'!I:I,MATCH(A535,'tuot-rehukirjanpito'!G:G,0)))</f>
        <v/>
      </c>
      <c r="AA535" s="224">
        <f>SUMIFS('tuot-INFO'!$K$10:$K$115,'tuot-INFO'!$A$10:$A$115,'tuot-PVÄ'!B535)</f>
        <v>66.3</v>
      </c>
      <c r="AB535" s="224">
        <f>SUMIFS('rehu-vesi-INFO'!$R:$R,'rehu-vesi-INFO'!$A:$A,'tuot-PVÄ'!B535)</f>
        <v>1745</v>
      </c>
      <c r="AC535" s="224">
        <f>SUMIFS('rehu-vesi-INFO'!$S:$S,'rehu-vesi-INFO'!$A:$A,'tuot-PVÄ'!B535)</f>
        <v>1852</v>
      </c>
      <c r="AD535" s="224">
        <f t="shared" si="150"/>
        <v>107</v>
      </c>
      <c r="AE535" s="224">
        <f t="shared" si="151"/>
        <v>0</v>
      </c>
      <c r="AF535" s="224">
        <f t="shared" si="152"/>
        <v>174.5</v>
      </c>
      <c r="AG535" s="224">
        <f t="shared" si="153"/>
        <v>10.7</v>
      </c>
      <c r="AH535" s="257">
        <f t="shared" si="155"/>
        <v>0</v>
      </c>
      <c r="AI535" s="258">
        <f t="shared" si="156"/>
        <v>0</v>
      </c>
      <c r="AJ535" s="55">
        <f>SUMIFS('tuot-INFO'!W:W,'tuot-INFO'!$A:$A,'tuot-PVÄ'!B535)</f>
        <v>64.17</v>
      </c>
      <c r="AK535" s="55">
        <f>SUMIFS('tuot-INFO'!X:X,'tuot-INFO'!$A:$A,'tuot-PVÄ'!B535)</f>
        <v>6.8999999999999915</v>
      </c>
    </row>
    <row r="536" spans="1:37" x14ac:dyDescent="0.25">
      <c r="A536" s="169">
        <f t="shared" si="154"/>
        <v>43022</v>
      </c>
      <c r="B536" s="23">
        <f>ROUNDUP((A536-Yleistiedot!$B$4)/7,0)</f>
        <v>94</v>
      </c>
      <c r="C536" s="16"/>
      <c r="D536" s="25"/>
      <c r="E536" s="25"/>
      <c r="F536" s="25"/>
      <c r="G536" s="25"/>
      <c r="H536" s="25"/>
      <c r="I536" s="65">
        <f t="shared" si="149"/>
        <v>0</v>
      </c>
      <c r="J536" s="26"/>
      <c r="K536" s="25"/>
      <c r="L536" s="16"/>
      <c r="M536" s="16"/>
      <c r="N536" s="25"/>
      <c r="O536" s="30"/>
      <c r="P536" s="252">
        <f t="shared" si="161"/>
        <v>9990</v>
      </c>
      <c r="Q536" s="253">
        <f t="shared" si="162"/>
        <v>0</v>
      </c>
      <c r="R536" s="253">
        <f t="shared" si="163"/>
        <v>0</v>
      </c>
      <c r="S536" s="251">
        <f>SUMIFS('tuot-rehukirjanpito'!D:D,'tuot-rehukirjanpito'!A:A,A536)</f>
        <v>0</v>
      </c>
      <c r="T536" s="254">
        <f t="shared" si="157"/>
        <v>1098.9000000000001</v>
      </c>
      <c r="U536" s="254">
        <f t="shared" si="158"/>
        <v>1098.8999999999999</v>
      </c>
      <c r="V536" s="252">
        <f t="shared" si="159"/>
        <v>-586812.60000000591</v>
      </c>
      <c r="W536" s="255">
        <f t="shared" si="160"/>
        <v>-534.00000000000534</v>
      </c>
      <c r="X536" s="256" t="str">
        <f t="shared" si="164"/>
        <v/>
      </c>
      <c r="Y536" s="256" t="str">
        <f t="shared" si="165"/>
        <v/>
      </c>
      <c r="Z536" s="224" t="str">
        <f>IF(IFERROR(INDEX('tuot-rehukirjanpito'!I:I,MATCH(A536,'tuot-rehukirjanpito'!G:G,0)),)=0,"",INDEX('tuot-rehukirjanpito'!I:I,MATCH(A536,'tuot-rehukirjanpito'!G:G,0)))</f>
        <v/>
      </c>
      <c r="AA536" s="224">
        <f>SUMIFS('tuot-INFO'!$K$10:$K$115,'tuot-INFO'!$A$10:$A$115,'tuot-PVÄ'!B536)</f>
        <v>66.3</v>
      </c>
      <c r="AB536" s="224">
        <f>SUMIFS('rehu-vesi-INFO'!$R:$R,'rehu-vesi-INFO'!$A:$A,'tuot-PVÄ'!B536)</f>
        <v>1745</v>
      </c>
      <c r="AC536" s="224">
        <f>SUMIFS('rehu-vesi-INFO'!$S:$S,'rehu-vesi-INFO'!$A:$A,'tuot-PVÄ'!B536)</f>
        <v>1853</v>
      </c>
      <c r="AD536" s="224">
        <f t="shared" si="150"/>
        <v>108</v>
      </c>
      <c r="AE536" s="224">
        <f t="shared" si="151"/>
        <v>0</v>
      </c>
      <c r="AF536" s="224">
        <f t="shared" si="152"/>
        <v>174.5</v>
      </c>
      <c r="AG536" s="224">
        <f t="shared" si="153"/>
        <v>10.8</v>
      </c>
      <c r="AH536" s="257">
        <f t="shared" si="155"/>
        <v>0</v>
      </c>
      <c r="AI536" s="258">
        <f t="shared" si="156"/>
        <v>0</v>
      </c>
      <c r="AJ536" s="55">
        <f>SUMIFS('tuot-INFO'!W:W,'tuot-INFO'!$A:$A,'tuot-PVÄ'!B536)</f>
        <v>63.612000000000002</v>
      </c>
      <c r="AK536" s="55">
        <f>SUMIFS('tuot-INFO'!X:X,'tuot-INFO'!$A:$A,'tuot-PVÄ'!B536)</f>
        <v>6.8400000000000105</v>
      </c>
    </row>
    <row r="537" spans="1:37" x14ac:dyDescent="0.25">
      <c r="A537" s="169">
        <f t="shared" si="154"/>
        <v>43023</v>
      </c>
      <c r="B537" s="23">
        <f>ROUNDUP((A537-Yleistiedot!$B$4)/7,0)</f>
        <v>94</v>
      </c>
      <c r="C537" s="16"/>
      <c r="D537" s="25"/>
      <c r="E537" s="25"/>
      <c r="F537" s="25"/>
      <c r="G537" s="25"/>
      <c r="H537" s="25"/>
      <c r="I537" s="65">
        <f t="shared" si="149"/>
        <v>0</v>
      </c>
      <c r="J537" s="26"/>
      <c r="K537" s="25"/>
      <c r="L537" s="16"/>
      <c r="M537" s="16"/>
      <c r="N537" s="25"/>
      <c r="O537" s="30"/>
      <c r="P537" s="252">
        <f t="shared" si="161"/>
        <v>9990</v>
      </c>
      <c r="Q537" s="253">
        <f t="shared" si="162"/>
        <v>0</v>
      </c>
      <c r="R537" s="253">
        <f t="shared" si="163"/>
        <v>0</v>
      </c>
      <c r="S537" s="251">
        <f>SUMIFS('tuot-rehukirjanpito'!D:D,'tuot-rehukirjanpito'!A:A,A537)</f>
        <v>0</v>
      </c>
      <c r="T537" s="254">
        <f t="shared" si="157"/>
        <v>1098.9000000000001</v>
      </c>
      <c r="U537" s="254">
        <f t="shared" si="158"/>
        <v>1098.8999999999999</v>
      </c>
      <c r="V537" s="252">
        <f t="shared" si="159"/>
        <v>-587911.50000000594</v>
      </c>
      <c r="W537" s="255">
        <f t="shared" si="160"/>
        <v>-535.00000000000534</v>
      </c>
      <c r="X537" s="256" t="str">
        <f t="shared" si="164"/>
        <v/>
      </c>
      <c r="Y537" s="256" t="str">
        <f t="shared" si="165"/>
        <v/>
      </c>
      <c r="Z537" s="224" t="str">
        <f>IF(IFERROR(INDEX('tuot-rehukirjanpito'!I:I,MATCH(A537,'tuot-rehukirjanpito'!G:G,0)),)=0,"",INDEX('tuot-rehukirjanpito'!I:I,MATCH(A537,'tuot-rehukirjanpito'!G:G,0)))</f>
        <v/>
      </c>
      <c r="AA537" s="224">
        <f>SUMIFS('tuot-INFO'!$K$10:$K$115,'tuot-INFO'!$A$10:$A$115,'tuot-PVÄ'!B537)</f>
        <v>66.3</v>
      </c>
      <c r="AB537" s="224">
        <f>SUMIFS('rehu-vesi-INFO'!$R:$R,'rehu-vesi-INFO'!$A:$A,'tuot-PVÄ'!B537)</f>
        <v>1745</v>
      </c>
      <c r="AC537" s="224">
        <f>SUMIFS('rehu-vesi-INFO'!$S:$S,'rehu-vesi-INFO'!$A:$A,'tuot-PVÄ'!B537)</f>
        <v>1853</v>
      </c>
      <c r="AD537" s="224">
        <f t="shared" si="150"/>
        <v>108</v>
      </c>
      <c r="AE537" s="224">
        <f t="shared" si="151"/>
        <v>0</v>
      </c>
      <c r="AF537" s="224">
        <f t="shared" si="152"/>
        <v>174.5</v>
      </c>
      <c r="AG537" s="224">
        <f t="shared" si="153"/>
        <v>10.8</v>
      </c>
      <c r="AH537" s="257">
        <f t="shared" si="155"/>
        <v>0</v>
      </c>
      <c r="AI537" s="258">
        <f t="shared" si="156"/>
        <v>0</v>
      </c>
      <c r="AJ537" s="55">
        <f>SUMIFS('tuot-INFO'!W:W,'tuot-INFO'!$A:$A,'tuot-PVÄ'!B537)</f>
        <v>63.612000000000002</v>
      </c>
      <c r="AK537" s="55">
        <f>SUMIFS('tuot-INFO'!X:X,'tuot-INFO'!$A:$A,'tuot-PVÄ'!B537)</f>
        <v>6.8400000000000105</v>
      </c>
    </row>
    <row r="538" spans="1:37" x14ac:dyDescent="0.25">
      <c r="A538" s="169">
        <f t="shared" si="154"/>
        <v>43024</v>
      </c>
      <c r="B538" s="23">
        <f>ROUNDUP((A538-Yleistiedot!$B$4)/7,0)</f>
        <v>94</v>
      </c>
      <c r="C538" s="16"/>
      <c r="D538" s="25"/>
      <c r="E538" s="25"/>
      <c r="F538" s="25"/>
      <c r="G538" s="25"/>
      <c r="H538" s="25"/>
      <c r="I538" s="65">
        <f t="shared" si="149"/>
        <v>0</v>
      </c>
      <c r="J538" s="26"/>
      <c r="K538" s="25"/>
      <c r="L538" s="16"/>
      <c r="M538" s="16"/>
      <c r="N538" s="25"/>
      <c r="O538" s="30"/>
      <c r="P538" s="252">
        <f t="shared" si="161"/>
        <v>9990</v>
      </c>
      <c r="Q538" s="253">
        <f t="shared" si="162"/>
        <v>0</v>
      </c>
      <c r="R538" s="253">
        <f t="shared" si="163"/>
        <v>0</v>
      </c>
      <c r="S538" s="251">
        <f>SUMIFS('tuot-rehukirjanpito'!D:D,'tuot-rehukirjanpito'!A:A,A538)</f>
        <v>0</v>
      </c>
      <c r="T538" s="254">
        <f t="shared" si="157"/>
        <v>1098.9000000000001</v>
      </c>
      <c r="U538" s="254">
        <f t="shared" si="158"/>
        <v>1098.8999999999999</v>
      </c>
      <c r="V538" s="252">
        <f t="shared" si="159"/>
        <v>-589010.40000000596</v>
      </c>
      <c r="W538" s="255">
        <f t="shared" si="160"/>
        <v>-536.00000000000534</v>
      </c>
      <c r="X538" s="256" t="str">
        <f t="shared" si="164"/>
        <v/>
      </c>
      <c r="Y538" s="256" t="str">
        <f t="shared" si="165"/>
        <v/>
      </c>
      <c r="Z538" s="224" t="str">
        <f>IF(IFERROR(INDEX('tuot-rehukirjanpito'!I:I,MATCH(A538,'tuot-rehukirjanpito'!G:G,0)),)=0,"",INDEX('tuot-rehukirjanpito'!I:I,MATCH(A538,'tuot-rehukirjanpito'!G:G,0)))</f>
        <v/>
      </c>
      <c r="AA538" s="224">
        <f>SUMIFS('tuot-INFO'!$K$10:$K$115,'tuot-INFO'!$A$10:$A$115,'tuot-PVÄ'!B538)</f>
        <v>66.3</v>
      </c>
      <c r="AB538" s="224">
        <f>SUMIFS('rehu-vesi-INFO'!$R:$R,'rehu-vesi-INFO'!$A:$A,'tuot-PVÄ'!B538)</f>
        <v>1745</v>
      </c>
      <c r="AC538" s="224">
        <f>SUMIFS('rehu-vesi-INFO'!$S:$S,'rehu-vesi-INFO'!$A:$A,'tuot-PVÄ'!B538)</f>
        <v>1853</v>
      </c>
      <c r="AD538" s="224">
        <f t="shared" si="150"/>
        <v>108</v>
      </c>
      <c r="AE538" s="224">
        <f t="shared" si="151"/>
        <v>0</v>
      </c>
      <c r="AF538" s="224">
        <f t="shared" si="152"/>
        <v>174.5</v>
      </c>
      <c r="AG538" s="224">
        <f t="shared" si="153"/>
        <v>10.8</v>
      </c>
      <c r="AH538" s="257">
        <f t="shared" si="155"/>
        <v>0</v>
      </c>
      <c r="AI538" s="258">
        <f t="shared" si="156"/>
        <v>0</v>
      </c>
      <c r="AJ538" s="55">
        <f>SUMIFS('tuot-INFO'!W:W,'tuot-INFO'!$A:$A,'tuot-PVÄ'!B538)</f>
        <v>63.612000000000002</v>
      </c>
      <c r="AK538" s="55">
        <f>SUMIFS('tuot-INFO'!X:X,'tuot-INFO'!$A:$A,'tuot-PVÄ'!B538)</f>
        <v>6.8400000000000105</v>
      </c>
    </row>
    <row r="539" spans="1:37" x14ac:dyDescent="0.25">
      <c r="A539" s="169">
        <f t="shared" si="154"/>
        <v>43025</v>
      </c>
      <c r="B539" s="23">
        <f>ROUNDUP((A539-Yleistiedot!$B$4)/7,0)</f>
        <v>94</v>
      </c>
      <c r="C539" s="16"/>
      <c r="D539" s="25"/>
      <c r="E539" s="25"/>
      <c r="F539" s="25"/>
      <c r="G539" s="25"/>
      <c r="H539" s="25"/>
      <c r="I539" s="65">
        <f t="shared" si="149"/>
        <v>0</v>
      </c>
      <c r="J539" s="26"/>
      <c r="K539" s="25"/>
      <c r="L539" s="16"/>
      <c r="M539" s="16"/>
      <c r="N539" s="25"/>
      <c r="O539" s="30"/>
      <c r="P539" s="252">
        <f t="shared" si="161"/>
        <v>9990</v>
      </c>
      <c r="Q539" s="253">
        <f t="shared" si="162"/>
        <v>0</v>
      </c>
      <c r="R539" s="253">
        <f t="shared" si="163"/>
        <v>0</v>
      </c>
      <c r="S539" s="251">
        <f>SUMIFS('tuot-rehukirjanpito'!D:D,'tuot-rehukirjanpito'!A:A,A539)</f>
        <v>0</v>
      </c>
      <c r="T539" s="254">
        <f t="shared" si="157"/>
        <v>1098.9000000000001</v>
      </c>
      <c r="U539" s="254">
        <f t="shared" si="158"/>
        <v>1098.8999999999999</v>
      </c>
      <c r="V539" s="252">
        <f t="shared" si="159"/>
        <v>-590109.30000000598</v>
      </c>
      <c r="W539" s="255">
        <f t="shared" si="160"/>
        <v>-537.00000000000546</v>
      </c>
      <c r="X539" s="256" t="str">
        <f t="shared" si="164"/>
        <v/>
      </c>
      <c r="Y539" s="256" t="str">
        <f t="shared" si="165"/>
        <v/>
      </c>
      <c r="Z539" s="224" t="str">
        <f>IF(IFERROR(INDEX('tuot-rehukirjanpito'!I:I,MATCH(A539,'tuot-rehukirjanpito'!G:G,0)),)=0,"",INDEX('tuot-rehukirjanpito'!I:I,MATCH(A539,'tuot-rehukirjanpito'!G:G,0)))</f>
        <v/>
      </c>
      <c r="AA539" s="224">
        <f>SUMIFS('tuot-INFO'!$K$10:$K$115,'tuot-INFO'!$A$10:$A$115,'tuot-PVÄ'!B539)</f>
        <v>66.3</v>
      </c>
      <c r="AB539" s="224">
        <f>SUMIFS('rehu-vesi-INFO'!$R:$R,'rehu-vesi-INFO'!$A:$A,'tuot-PVÄ'!B539)</f>
        <v>1745</v>
      </c>
      <c r="AC539" s="224">
        <f>SUMIFS('rehu-vesi-INFO'!$S:$S,'rehu-vesi-INFO'!$A:$A,'tuot-PVÄ'!B539)</f>
        <v>1853</v>
      </c>
      <c r="AD539" s="224">
        <f t="shared" si="150"/>
        <v>108</v>
      </c>
      <c r="AE539" s="224">
        <f t="shared" si="151"/>
        <v>0</v>
      </c>
      <c r="AF539" s="224">
        <f t="shared" si="152"/>
        <v>174.5</v>
      </c>
      <c r="AG539" s="224">
        <f t="shared" si="153"/>
        <v>10.8</v>
      </c>
      <c r="AH539" s="257">
        <f t="shared" si="155"/>
        <v>0</v>
      </c>
      <c r="AI539" s="258">
        <f t="shared" si="156"/>
        <v>0</v>
      </c>
      <c r="AJ539" s="55">
        <f>SUMIFS('tuot-INFO'!W:W,'tuot-INFO'!$A:$A,'tuot-PVÄ'!B539)</f>
        <v>63.612000000000002</v>
      </c>
      <c r="AK539" s="55">
        <f>SUMIFS('tuot-INFO'!X:X,'tuot-INFO'!$A:$A,'tuot-PVÄ'!B539)</f>
        <v>6.8400000000000105</v>
      </c>
    </row>
    <row r="540" spans="1:37" x14ac:dyDescent="0.25">
      <c r="A540" s="169">
        <f t="shared" si="154"/>
        <v>43026</v>
      </c>
      <c r="B540" s="23">
        <f>ROUNDUP((A540-Yleistiedot!$B$4)/7,0)</f>
        <v>94</v>
      </c>
      <c r="C540" s="16"/>
      <c r="D540" s="25"/>
      <c r="E540" s="25"/>
      <c r="F540" s="25"/>
      <c r="G540" s="25"/>
      <c r="H540" s="25"/>
      <c r="I540" s="65">
        <f t="shared" si="149"/>
        <v>0</v>
      </c>
      <c r="J540" s="26"/>
      <c r="K540" s="25"/>
      <c r="L540" s="16"/>
      <c r="M540" s="16"/>
      <c r="N540" s="25"/>
      <c r="O540" s="30"/>
      <c r="P540" s="252">
        <f t="shared" si="161"/>
        <v>9990</v>
      </c>
      <c r="Q540" s="253">
        <f t="shared" si="162"/>
        <v>0</v>
      </c>
      <c r="R540" s="253">
        <f t="shared" si="163"/>
        <v>0</v>
      </c>
      <c r="S540" s="251">
        <f>SUMIFS('tuot-rehukirjanpito'!D:D,'tuot-rehukirjanpito'!A:A,A540)</f>
        <v>0</v>
      </c>
      <c r="T540" s="254">
        <f t="shared" si="157"/>
        <v>1098.9000000000001</v>
      </c>
      <c r="U540" s="254">
        <f t="shared" si="158"/>
        <v>1098.8999999999999</v>
      </c>
      <c r="V540" s="252">
        <f t="shared" si="159"/>
        <v>-591208.20000000601</v>
      </c>
      <c r="W540" s="255">
        <f t="shared" si="160"/>
        <v>-538.00000000000546</v>
      </c>
      <c r="X540" s="256" t="str">
        <f t="shared" si="164"/>
        <v/>
      </c>
      <c r="Y540" s="256" t="str">
        <f t="shared" si="165"/>
        <v/>
      </c>
      <c r="Z540" s="224" t="str">
        <f>IF(IFERROR(INDEX('tuot-rehukirjanpito'!I:I,MATCH(A540,'tuot-rehukirjanpito'!G:G,0)),)=0,"",INDEX('tuot-rehukirjanpito'!I:I,MATCH(A540,'tuot-rehukirjanpito'!G:G,0)))</f>
        <v/>
      </c>
      <c r="AA540" s="224">
        <f>SUMIFS('tuot-INFO'!$K$10:$K$115,'tuot-INFO'!$A$10:$A$115,'tuot-PVÄ'!B540)</f>
        <v>66.3</v>
      </c>
      <c r="AB540" s="224">
        <f>SUMIFS('rehu-vesi-INFO'!$R:$R,'rehu-vesi-INFO'!$A:$A,'tuot-PVÄ'!B540)</f>
        <v>1745</v>
      </c>
      <c r="AC540" s="224">
        <f>SUMIFS('rehu-vesi-INFO'!$S:$S,'rehu-vesi-INFO'!$A:$A,'tuot-PVÄ'!B540)</f>
        <v>1853</v>
      </c>
      <c r="AD540" s="224">
        <f t="shared" si="150"/>
        <v>108</v>
      </c>
      <c r="AE540" s="224">
        <f t="shared" si="151"/>
        <v>0</v>
      </c>
      <c r="AF540" s="224">
        <f t="shared" si="152"/>
        <v>174.5</v>
      </c>
      <c r="AG540" s="224">
        <f t="shared" si="153"/>
        <v>10.8</v>
      </c>
      <c r="AH540" s="257">
        <f t="shared" si="155"/>
        <v>0</v>
      </c>
      <c r="AI540" s="258">
        <f t="shared" si="156"/>
        <v>0</v>
      </c>
      <c r="AJ540" s="55">
        <f>SUMIFS('tuot-INFO'!W:W,'tuot-INFO'!$A:$A,'tuot-PVÄ'!B540)</f>
        <v>63.612000000000002</v>
      </c>
      <c r="AK540" s="55">
        <f>SUMIFS('tuot-INFO'!X:X,'tuot-INFO'!$A:$A,'tuot-PVÄ'!B540)</f>
        <v>6.8400000000000105</v>
      </c>
    </row>
    <row r="541" spans="1:37" x14ac:dyDescent="0.25">
      <c r="A541" s="169">
        <f t="shared" si="154"/>
        <v>43027</v>
      </c>
      <c r="B541" s="23">
        <f>ROUNDUP((A541-Yleistiedot!$B$4)/7,0)</f>
        <v>94</v>
      </c>
      <c r="C541" s="16"/>
      <c r="D541" s="25"/>
      <c r="E541" s="25"/>
      <c r="F541" s="25"/>
      <c r="G541" s="25"/>
      <c r="H541" s="25"/>
      <c r="I541" s="65">
        <f t="shared" si="149"/>
        <v>0</v>
      </c>
      <c r="J541" s="26"/>
      <c r="K541" s="25"/>
      <c r="L541" s="16"/>
      <c r="M541" s="16"/>
      <c r="N541" s="25"/>
      <c r="O541" s="30"/>
      <c r="P541" s="252">
        <f t="shared" si="161"/>
        <v>9990</v>
      </c>
      <c r="Q541" s="253">
        <f t="shared" si="162"/>
        <v>0</v>
      </c>
      <c r="R541" s="253">
        <f t="shared" si="163"/>
        <v>0</v>
      </c>
      <c r="S541" s="251">
        <f>SUMIFS('tuot-rehukirjanpito'!D:D,'tuot-rehukirjanpito'!A:A,A541)</f>
        <v>0</v>
      </c>
      <c r="T541" s="254">
        <f t="shared" si="157"/>
        <v>1098.9000000000001</v>
      </c>
      <c r="U541" s="254">
        <f t="shared" si="158"/>
        <v>1098.8999999999999</v>
      </c>
      <c r="V541" s="252">
        <f t="shared" si="159"/>
        <v>-592307.10000000603</v>
      </c>
      <c r="W541" s="255">
        <f t="shared" si="160"/>
        <v>-539.00000000000546</v>
      </c>
      <c r="X541" s="256" t="str">
        <f t="shared" si="164"/>
        <v/>
      </c>
      <c r="Y541" s="256" t="str">
        <f t="shared" si="165"/>
        <v/>
      </c>
      <c r="Z541" s="224" t="str">
        <f>IF(IFERROR(INDEX('tuot-rehukirjanpito'!I:I,MATCH(A541,'tuot-rehukirjanpito'!G:G,0)),)=0,"",INDEX('tuot-rehukirjanpito'!I:I,MATCH(A541,'tuot-rehukirjanpito'!G:G,0)))</f>
        <v/>
      </c>
      <c r="AA541" s="224">
        <f>SUMIFS('tuot-INFO'!$K$10:$K$115,'tuot-INFO'!$A$10:$A$115,'tuot-PVÄ'!B541)</f>
        <v>66.3</v>
      </c>
      <c r="AB541" s="224">
        <f>SUMIFS('rehu-vesi-INFO'!$R:$R,'rehu-vesi-INFO'!$A:$A,'tuot-PVÄ'!B541)</f>
        <v>1745</v>
      </c>
      <c r="AC541" s="224">
        <f>SUMIFS('rehu-vesi-INFO'!$S:$S,'rehu-vesi-INFO'!$A:$A,'tuot-PVÄ'!B541)</f>
        <v>1853</v>
      </c>
      <c r="AD541" s="224">
        <f t="shared" si="150"/>
        <v>108</v>
      </c>
      <c r="AE541" s="224">
        <f t="shared" si="151"/>
        <v>0</v>
      </c>
      <c r="AF541" s="224">
        <f t="shared" si="152"/>
        <v>174.5</v>
      </c>
      <c r="AG541" s="224">
        <f t="shared" si="153"/>
        <v>10.8</v>
      </c>
      <c r="AH541" s="257">
        <f t="shared" si="155"/>
        <v>0</v>
      </c>
      <c r="AI541" s="258">
        <f t="shared" si="156"/>
        <v>0</v>
      </c>
      <c r="AJ541" s="55">
        <f>SUMIFS('tuot-INFO'!W:W,'tuot-INFO'!$A:$A,'tuot-PVÄ'!B541)</f>
        <v>63.612000000000002</v>
      </c>
      <c r="AK541" s="55">
        <f>SUMIFS('tuot-INFO'!X:X,'tuot-INFO'!$A:$A,'tuot-PVÄ'!B541)</f>
        <v>6.8400000000000105</v>
      </c>
    </row>
    <row r="542" spans="1:37" x14ac:dyDescent="0.25">
      <c r="A542" s="169">
        <f t="shared" si="154"/>
        <v>43028</v>
      </c>
      <c r="B542" s="23">
        <f>ROUNDUP((A542-Yleistiedot!$B$4)/7,0)</f>
        <v>94</v>
      </c>
      <c r="C542" s="16"/>
      <c r="D542" s="25"/>
      <c r="E542" s="25"/>
      <c r="F542" s="25"/>
      <c r="G542" s="25"/>
      <c r="H542" s="25"/>
      <c r="I542" s="65">
        <f t="shared" si="149"/>
        <v>0</v>
      </c>
      <c r="J542" s="26"/>
      <c r="K542" s="25"/>
      <c r="L542" s="16"/>
      <c r="M542" s="16"/>
      <c r="N542" s="25"/>
      <c r="O542" s="30"/>
      <c r="P542" s="252">
        <f t="shared" si="161"/>
        <v>9990</v>
      </c>
      <c r="Q542" s="253">
        <f t="shared" si="162"/>
        <v>0</v>
      </c>
      <c r="R542" s="253">
        <f t="shared" si="163"/>
        <v>0</v>
      </c>
      <c r="S542" s="251">
        <f>SUMIFS('tuot-rehukirjanpito'!D:D,'tuot-rehukirjanpito'!A:A,A542)</f>
        <v>0</v>
      </c>
      <c r="T542" s="254">
        <f t="shared" si="157"/>
        <v>1098.9000000000001</v>
      </c>
      <c r="U542" s="254">
        <f t="shared" si="158"/>
        <v>1098.8999999999999</v>
      </c>
      <c r="V542" s="252">
        <f t="shared" si="159"/>
        <v>-593406.00000000605</v>
      </c>
      <c r="W542" s="255">
        <f t="shared" si="160"/>
        <v>-540.00000000000546</v>
      </c>
      <c r="X542" s="256" t="str">
        <f t="shared" si="164"/>
        <v/>
      </c>
      <c r="Y542" s="256" t="str">
        <f t="shared" si="165"/>
        <v/>
      </c>
      <c r="Z542" s="224" t="str">
        <f>IF(IFERROR(INDEX('tuot-rehukirjanpito'!I:I,MATCH(A542,'tuot-rehukirjanpito'!G:G,0)),)=0,"",INDEX('tuot-rehukirjanpito'!I:I,MATCH(A542,'tuot-rehukirjanpito'!G:G,0)))</f>
        <v/>
      </c>
      <c r="AA542" s="224">
        <f>SUMIFS('tuot-INFO'!$K$10:$K$115,'tuot-INFO'!$A$10:$A$115,'tuot-PVÄ'!B542)</f>
        <v>66.3</v>
      </c>
      <c r="AB542" s="224">
        <f>SUMIFS('rehu-vesi-INFO'!$R:$R,'rehu-vesi-INFO'!$A:$A,'tuot-PVÄ'!B542)</f>
        <v>1745</v>
      </c>
      <c r="AC542" s="224">
        <f>SUMIFS('rehu-vesi-INFO'!$S:$S,'rehu-vesi-INFO'!$A:$A,'tuot-PVÄ'!B542)</f>
        <v>1853</v>
      </c>
      <c r="AD542" s="224">
        <f t="shared" si="150"/>
        <v>108</v>
      </c>
      <c r="AE542" s="224">
        <f t="shared" si="151"/>
        <v>0</v>
      </c>
      <c r="AF542" s="224">
        <f t="shared" si="152"/>
        <v>174.5</v>
      </c>
      <c r="AG542" s="224">
        <f t="shared" si="153"/>
        <v>10.8</v>
      </c>
      <c r="AH542" s="257">
        <f t="shared" si="155"/>
        <v>0</v>
      </c>
      <c r="AI542" s="258">
        <f t="shared" si="156"/>
        <v>0</v>
      </c>
      <c r="AJ542" s="55">
        <f>SUMIFS('tuot-INFO'!W:W,'tuot-INFO'!$A:$A,'tuot-PVÄ'!B542)</f>
        <v>63.612000000000002</v>
      </c>
      <c r="AK542" s="55">
        <f>SUMIFS('tuot-INFO'!X:X,'tuot-INFO'!$A:$A,'tuot-PVÄ'!B542)</f>
        <v>6.8400000000000105</v>
      </c>
    </row>
    <row r="543" spans="1:37" x14ac:dyDescent="0.25">
      <c r="A543" s="169">
        <f t="shared" si="154"/>
        <v>43029</v>
      </c>
      <c r="B543" s="23">
        <f>ROUNDUP((A543-Yleistiedot!$B$4)/7,0)</f>
        <v>95</v>
      </c>
      <c r="C543" s="16"/>
      <c r="D543" s="25"/>
      <c r="E543" s="25"/>
      <c r="F543" s="25"/>
      <c r="G543" s="25"/>
      <c r="H543" s="25"/>
      <c r="I543" s="65">
        <f t="shared" si="149"/>
        <v>0</v>
      </c>
      <c r="J543" s="26"/>
      <c r="K543" s="25"/>
      <c r="L543" s="16"/>
      <c r="M543" s="16"/>
      <c r="N543" s="25"/>
      <c r="O543" s="30"/>
      <c r="P543" s="252">
        <f t="shared" si="161"/>
        <v>9990</v>
      </c>
      <c r="Q543" s="253">
        <f t="shared" si="162"/>
        <v>0</v>
      </c>
      <c r="R543" s="253">
        <f t="shared" si="163"/>
        <v>0</v>
      </c>
      <c r="S543" s="251">
        <f>SUMIFS('tuot-rehukirjanpito'!D:D,'tuot-rehukirjanpito'!A:A,A543)</f>
        <v>0</v>
      </c>
      <c r="T543" s="254">
        <f t="shared" si="157"/>
        <v>1098.9000000000001</v>
      </c>
      <c r="U543" s="254">
        <f t="shared" si="158"/>
        <v>1098.8999999999999</v>
      </c>
      <c r="V543" s="252">
        <f t="shared" si="159"/>
        <v>-594504.90000000608</v>
      </c>
      <c r="W543" s="255">
        <f t="shared" si="160"/>
        <v>-541.00000000000546</v>
      </c>
      <c r="X543" s="256" t="str">
        <f t="shared" si="164"/>
        <v/>
      </c>
      <c r="Y543" s="256" t="str">
        <f t="shared" si="165"/>
        <v/>
      </c>
      <c r="Z543" s="224" t="str">
        <f>IF(IFERROR(INDEX('tuot-rehukirjanpito'!I:I,MATCH(A543,'tuot-rehukirjanpito'!G:G,0)),)=0,"",INDEX('tuot-rehukirjanpito'!I:I,MATCH(A543,'tuot-rehukirjanpito'!G:G,0)))</f>
        <v/>
      </c>
      <c r="AA543" s="224">
        <f>SUMIFS('tuot-INFO'!$K$10:$K$115,'tuot-INFO'!$A$10:$A$115,'tuot-PVÄ'!B543)</f>
        <v>66.3</v>
      </c>
      <c r="AB543" s="224">
        <f>SUMIFS('rehu-vesi-INFO'!$R:$R,'rehu-vesi-INFO'!$A:$A,'tuot-PVÄ'!B543)</f>
        <v>1746</v>
      </c>
      <c r="AC543" s="224">
        <f>SUMIFS('rehu-vesi-INFO'!$S:$S,'rehu-vesi-INFO'!$A:$A,'tuot-PVÄ'!B543)</f>
        <v>1853</v>
      </c>
      <c r="AD543" s="224">
        <f t="shared" si="150"/>
        <v>107</v>
      </c>
      <c r="AE543" s="224">
        <f t="shared" si="151"/>
        <v>0</v>
      </c>
      <c r="AF543" s="224">
        <f t="shared" si="152"/>
        <v>174.6</v>
      </c>
      <c r="AG543" s="224">
        <f t="shared" si="153"/>
        <v>10.7</v>
      </c>
      <c r="AH543" s="257">
        <f t="shared" si="155"/>
        <v>0</v>
      </c>
      <c r="AI543" s="258">
        <f t="shared" si="156"/>
        <v>0</v>
      </c>
      <c r="AJ543" s="55">
        <f>SUMIFS('tuot-INFO'!W:W,'tuot-INFO'!$A:$A,'tuot-PVÄ'!B543)</f>
        <v>62.960999999999999</v>
      </c>
      <c r="AK543" s="55">
        <f>SUMIFS('tuot-INFO'!X:X,'tuot-INFO'!$A:$A,'tuot-PVÄ'!B543)</f>
        <v>6.7700000000000102</v>
      </c>
    </row>
    <row r="544" spans="1:37" x14ac:dyDescent="0.25">
      <c r="A544" s="169">
        <f t="shared" si="154"/>
        <v>43030</v>
      </c>
      <c r="B544" s="23">
        <f>ROUNDUP((A544-Yleistiedot!$B$4)/7,0)</f>
        <v>95</v>
      </c>
      <c r="C544" s="16"/>
      <c r="D544" s="25"/>
      <c r="E544" s="25"/>
      <c r="F544" s="25"/>
      <c r="G544" s="25"/>
      <c r="H544" s="25"/>
      <c r="I544" s="65">
        <f t="shared" si="149"/>
        <v>0</v>
      </c>
      <c r="J544" s="26"/>
      <c r="K544" s="25"/>
      <c r="L544" s="16"/>
      <c r="M544" s="16"/>
      <c r="N544" s="25"/>
      <c r="O544" s="30"/>
      <c r="P544" s="252">
        <f t="shared" si="161"/>
        <v>9990</v>
      </c>
      <c r="Q544" s="253">
        <f t="shared" si="162"/>
        <v>0</v>
      </c>
      <c r="R544" s="253">
        <f t="shared" si="163"/>
        <v>0</v>
      </c>
      <c r="S544" s="251">
        <f>SUMIFS('tuot-rehukirjanpito'!D:D,'tuot-rehukirjanpito'!A:A,A544)</f>
        <v>0</v>
      </c>
      <c r="T544" s="254">
        <f t="shared" si="157"/>
        <v>1098.9000000000001</v>
      </c>
      <c r="U544" s="254">
        <f t="shared" si="158"/>
        <v>1098.8999999999999</v>
      </c>
      <c r="V544" s="252">
        <f t="shared" si="159"/>
        <v>-595603.8000000061</v>
      </c>
      <c r="W544" s="255">
        <f t="shared" si="160"/>
        <v>-542.00000000000546</v>
      </c>
      <c r="X544" s="256" t="str">
        <f t="shared" si="164"/>
        <v/>
      </c>
      <c r="Y544" s="256" t="str">
        <f t="shared" si="165"/>
        <v/>
      </c>
      <c r="Z544" s="224" t="str">
        <f>IF(IFERROR(INDEX('tuot-rehukirjanpito'!I:I,MATCH(A544,'tuot-rehukirjanpito'!G:G,0)),)=0,"",INDEX('tuot-rehukirjanpito'!I:I,MATCH(A544,'tuot-rehukirjanpito'!G:G,0)))</f>
        <v/>
      </c>
      <c r="AA544" s="224">
        <f>SUMIFS('tuot-INFO'!$K$10:$K$115,'tuot-INFO'!$A$10:$A$115,'tuot-PVÄ'!B544)</f>
        <v>66.3</v>
      </c>
      <c r="AB544" s="224">
        <f>SUMIFS('rehu-vesi-INFO'!$R:$R,'rehu-vesi-INFO'!$A:$A,'tuot-PVÄ'!B544)</f>
        <v>1746</v>
      </c>
      <c r="AC544" s="224">
        <f>SUMIFS('rehu-vesi-INFO'!$S:$S,'rehu-vesi-INFO'!$A:$A,'tuot-PVÄ'!B544)</f>
        <v>1853</v>
      </c>
      <c r="AD544" s="224">
        <f t="shared" si="150"/>
        <v>107</v>
      </c>
      <c r="AE544" s="224">
        <f t="shared" si="151"/>
        <v>0</v>
      </c>
      <c r="AF544" s="224">
        <f t="shared" si="152"/>
        <v>174.6</v>
      </c>
      <c r="AG544" s="224">
        <f t="shared" si="153"/>
        <v>10.7</v>
      </c>
      <c r="AH544" s="257">
        <f t="shared" si="155"/>
        <v>0</v>
      </c>
      <c r="AI544" s="258">
        <f t="shared" si="156"/>
        <v>0</v>
      </c>
      <c r="AJ544" s="55">
        <f>SUMIFS('tuot-INFO'!W:W,'tuot-INFO'!$A:$A,'tuot-PVÄ'!B544)</f>
        <v>62.960999999999999</v>
      </c>
      <c r="AK544" s="55">
        <f>SUMIFS('tuot-INFO'!X:X,'tuot-INFO'!$A:$A,'tuot-PVÄ'!B544)</f>
        <v>6.7700000000000102</v>
      </c>
    </row>
    <row r="545" spans="1:37" x14ac:dyDescent="0.25">
      <c r="A545" s="169">
        <f t="shared" si="154"/>
        <v>43031</v>
      </c>
      <c r="B545" s="23">
        <f>ROUNDUP((A545-Yleistiedot!$B$4)/7,0)</f>
        <v>95</v>
      </c>
      <c r="C545" s="16"/>
      <c r="D545" s="25"/>
      <c r="E545" s="25"/>
      <c r="F545" s="25"/>
      <c r="G545" s="25"/>
      <c r="H545" s="25"/>
      <c r="I545" s="65">
        <f t="shared" si="149"/>
        <v>0</v>
      </c>
      <c r="J545" s="26"/>
      <c r="K545" s="25"/>
      <c r="L545" s="16"/>
      <c r="M545" s="16"/>
      <c r="N545" s="25"/>
      <c r="O545" s="30"/>
      <c r="P545" s="252">
        <f t="shared" si="161"/>
        <v>9990</v>
      </c>
      <c r="Q545" s="253">
        <f t="shared" si="162"/>
        <v>0</v>
      </c>
      <c r="R545" s="253">
        <f t="shared" si="163"/>
        <v>0</v>
      </c>
      <c r="S545" s="251">
        <f>SUMIFS('tuot-rehukirjanpito'!D:D,'tuot-rehukirjanpito'!A:A,A545)</f>
        <v>0</v>
      </c>
      <c r="T545" s="254">
        <f t="shared" si="157"/>
        <v>1098.9000000000001</v>
      </c>
      <c r="U545" s="254">
        <f t="shared" si="158"/>
        <v>1098.8999999999999</v>
      </c>
      <c r="V545" s="252">
        <f t="shared" si="159"/>
        <v>-596702.70000000612</v>
      </c>
      <c r="W545" s="255">
        <f t="shared" si="160"/>
        <v>-543.00000000000557</v>
      </c>
      <c r="X545" s="256" t="str">
        <f t="shared" si="164"/>
        <v/>
      </c>
      <c r="Y545" s="256" t="str">
        <f t="shared" si="165"/>
        <v/>
      </c>
      <c r="Z545" s="224" t="str">
        <f>IF(IFERROR(INDEX('tuot-rehukirjanpito'!I:I,MATCH(A545,'tuot-rehukirjanpito'!G:G,0)),)=0,"",INDEX('tuot-rehukirjanpito'!I:I,MATCH(A545,'tuot-rehukirjanpito'!G:G,0)))</f>
        <v/>
      </c>
      <c r="AA545" s="224">
        <f>SUMIFS('tuot-INFO'!$K$10:$K$115,'tuot-INFO'!$A$10:$A$115,'tuot-PVÄ'!B545)</f>
        <v>66.3</v>
      </c>
      <c r="AB545" s="224">
        <f>SUMIFS('rehu-vesi-INFO'!$R:$R,'rehu-vesi-INFO'!$A:$A,'tuot-PVÄ'!B545)</f>
        <v>1746</v>
      </c>
      <c r="AC545" s="224">
        <f>SUMIFS('rehu-vesi-INFO'!$S:$S,'rehu-vesi-INFO'!$A:$A,'tuot-PVÄ'!B545)</f>
        <v>1853</v>
      </c>
      <c r="AD545" s="224">
        <f t="shared" si="150"/>
        <v>107</v>
      </c>
      <c r="AE545" s="224">
        <f t="shared" si="151"/>
        <v>0</v>
      </c>
      <c r="AF545" s="224">
        <f t="shared" si="152"/>
        <v>174.6</v>
      </c>
      <c r="AG545" s="224">
        <f t="shared" si="153"/>
        <v>10.7</v>
      </c>
      <c r="AH545" s="257">
        <f t="shared" si="155"/>
        <v>0</v>
      </c>
      <c r="AI545" s="258">
        <f t="shared" si="156"/>
        <v>0</v>
      </c>
      <c r="AJ545" s="55">
        <f>SUMIFS('tuot-INFO'!W:W,'tuot-INFO'!$A:$A,'tuot-PVÄ'!B545)</f>
        <v>62.960999999999999</v>
      </c>
      <c r="AK545" s="55">
        <f>SUMIFS('tuot-INFO'!X:X,'tuot-INFO'!$A:$A,'tuot-PVÄ'!B545)</f>
        <v>6.7700000000000102</v>
      </c>
    </row>
    <row r="546" spans="1:37" x14ac:dyDescent="0.25">
      <c r="A546" s="169">
        <f t="shared" si="154"/>
        <v>43032</v>
      </c>
      <c r="B546" s="23">
        <f>ROUNDUP((A546-Yleistiedot!$B$4)/7,0)</f>
        <v>95</v>
      </c>
      <c r="C546" s="16"/>
      <c r="D546" s="25"/>
      <c r="E546" s="25"/>
      <c r="F546" s="25"/>
      <c r="G546" s="25"/>
      <c r="H546" s="25"/>
      <c r="I546" s="65">
        <f t="shared" si="149"/>
        <v>0</v>
      </c>
      <c r="J546" s="26"/>
      <c r="K546" s="25"/>
      <c r="L546" s="16"/>
      <c r="M546" s="16"/>
      <c r="N546" s="25"/>
      <c r="O546" s="30"/>
      <c r="P546" s="252">
        <f t="shared" si="161"/>
        <v>9990</v>
      </c>
      <c r="Q546" s="253">
        <f t="shared" si="162"/>
        <v>0</v>
      </c>
      <c r="R546" s="253">
        <f t="shared" si="163"/>
        <v>0</v>
      </c>
      <c r="S546" s="251">
        <f>SUMIFS('tuot-rehukirjanpito'!D:D,'tuot-rehukirjanpito'!A:A,A546)</f>
        <v>0</v>
      </c>
      <c r="T546" s="254">
        <f t="shared" si="157"/>
        <v>1098.9000000000001</v>
      </c>
      <c r="U546" s="254">
        <f t="shared" si="158"/>
        <v>1098.8999999999999</v>
      </c>
      <c r="V546" s="252">
        <f t="shared" si="159"/>
        <v>-597801.60000000615</v>
      </c>
      <c r="W546" s="255">
        <f t="shared" si="160"/>
        <v>-544.00000000000557</v>
      </c>
      <c r="X546" s="256" t="str">
        <f t="shared" si="164"/>
        <v/>
      </c>
      <c r="Y546" s="256" t="str">
        <f t="shared" si="165"/>
        <v/>
      </c>
      <c r="Z546" s="224" t="str">
        <f>IF(IFERROR(INDEX('tuot-rehukirjanpito'!I:I,MATCH(A546,'tuot-rehukirjanpito'!G:G,0)),)=0,"",INDEX('tuot-rehukirjanpito'!I:I,MATCH(A546,'tuot-rehukirjanpito'!G:G,0)))</f>
        <v/>
      </c>
      <c r="AA546" s="224">
        <f>SUMIFS('tuot-INFO'!$K$10:$K$115,'tuot-INFO'!$A$10:$A$115,'tuot-PVÄ'!B546)</f>
        <v>66.3</v>
      </c>
      <c r="AB546" s="224">
        <f>SUMIFS('rehu-vesi-INFO'!$R:$R,'rehu-vesi-INFO'!$A:$A,'tuot-PVÄ'!B546)</f>
        <v>1746</v>
      </c>
      <c r="AC546" s="224">
        <f>SUMIFS('rehu-vesi-INFO'!$S:$S,'rehu-vesi-INFO'!$A:$A,'tuot-PVÄ'!B546)</f>
        <v>1853</v>
      </c>
      <c r="AD546" s="224">
        <f t="shared" si="150"/>
        <v>107</v>
      </c>
      <c r="AE546" s="224">
        <f t="shared" si="151"/>
        <v>0</v>
      </c>
      <c r="AF546" s="224">
        <f t="shared" si="152"/>
        <v>174.6</v>
      </c>
      <c r="AG546" s="224">
        <f t="shared" si="153"/>
        <v>10.7</v>
      </c>
      <c r="AH546" s="257">
        <f t="shared" si="155"/>
        <v>0</v>
      </c>
      <c r="AI546" s="258">
        <f t="shared" si="156"/>
        <v>0</v>
      </c>
      <c r="AJ546" s="55">
        <f>SUMIFS('tuot-INFO'!W:W,'tuot-INFO'!$A:$A,'tuot-PVÄ'!B546)</f>
        <v>62.960999999999999</v>
      </c>
      <c r="AK546" s="55">
        <f>SUMIFS('tuot-INFO'!X:X,'tuot-INFO'!$A:$A,'tuot-PVÄ'!B546)</f>
        <v>6.7700000000000102</v>
      </c>
    </row>
    <row r="547" spans="1:37" x14ac:dyDescent="0.25">
      <c r="A547" s="169">
        <f t="shared" si="154"/>
        <v>43033</v>
      </c>
      <c r="B547" s="23">
        <f>ROUNDUP((A547-Yleistiedot!$B$4)/7,0)</f>
        <v>95</v>
      </c>
      <c r="C547" s="16"/>
      <c r="D547" s="25"/>
      <c r="E547" s="25"/>
      <c r="F547" s="25"/>
      <c r="G547" s="25"/>
      <c r="H547" s="25"/>
      <c r="I547" s="65">
        <f t="shared" si="149"/>
        <v>0</v>
      </c>
      <c r="J547" s="26"/>
      <c r="K547" s="25"/>
      <c r="L547" s="16"/>
      <c r="M547" s="16"/>
      <c r="N547" s="25"/>
      <c r="O547" s="30"/>
      <c r="P547" s="252">
        <f t="shared" si="161"/>
        <v>9990</v>
      </c>
      <c r="Q547" s="253">
        <f t="shared" si="162"/>
        <v>0</v>
      </c>
      <c r="R547" s="253">
        <f t="shared" si="163"/>
        <v>0</v>
      </c>
      <c r="S547" s="251">
        <f>SUMIFS('tuot-rehukirjanpito'!D:D,'tuot-rehukirjanpito'!A:A,A547)</f>
        <v>0</v>
      </c>
      <c r="T547" s="254">
        <f t="shared" si="157"/>
        <v>1098.9000000000001</v>
      </c>
      <c r="U547" s="254">
        <f t="shared" si="158"/>
        <v>1098.8999999999999</v>
      </c>
      <c r="V547" s="252">
        <f t="shared" si="159"/>
        <v>-598900.50000000617</v>
      </c>
      <c r="W547" s="255">
        <f t="shared" si="160"/>
        <v>-545.00000000000557</v>
      </c>
      <c r="X547" s="256" t="str">
        <f t="shared" si="164"/>
        <v/>
      </c>
      <c r="Y547" s="256" t="str">
        <f t="shared" si="165"/>
        <v/>
      </c>
      <c r="Z547" s="224" t="str">
        <f>IF(IFERROR(INDEX('tuot-rehukirjanpito'!I:I,MATCH(A547,'tuot-rehukirjanpito'!G:G,0)),)=0,"",INDEX('tuot-rehukirjanpito'!I:I,MATCH(A547,'tuot-rehukirjanpito'!G:G,0)))</f>
        <v/>
      </c>
      <c r="AA547" s="224">
        <f>SUMIFS('tuot-INFO'!$K$10:$K$115,'tuot-INFO'!$A$10:$A$115,'tuot-PVÄ'!B547)</f>
        <v>66.3</v>
      </c>
      <c r="AB547" s="224">
        <f>SUMIFS('rehu-vesi-INFO'!$R:$R,'rehu-vesi-INFO'!$A:$A,'tuot-PVÄ'!B547)</f>
        <v>1746</v>
      </c>
      <c r="AC547" s="224">
        <f>SUMIFS('rehu-vesi-INFO'!$S:$S,'rehu-vesi-INFO'!$A:$A,'tuot-PVÄ'!B547)</f>
        <v>1853</v>
      </c>
      <c r="AD547" s="224">
        <f t="shared" si="150"/>
        <v>107</v>
      </c>
      <c r="AE547" s="224">
        <f t="shared" si="151"/>
        <v>0</v>
      </c>
      <c r="AF547" s="224">
        <f t="shared" si="152"/>
        <v>174.6</v>
      </c>
      <c r="AG547" s="224">
        <f t="shared" si="153"/>
        <v>10.7</v>
      </c>
      <c r="AH547" s="257">
        <f t="shared" si="155"/>
        <v>0</v>
      </c>
      <c r="AI547" s="258">
        <f t="shared" si="156"/>
        <v>0</v>
      </c>
      <c r="AJ547" s="55">
        <f>SUMIFS('tuot-INFO'!W:W,'tuot-INFO'!$A:$A,'tuot-PVÄ'!B547)</f>
        <v>62.960999999999999</v>
      </c>
      <c r="AK547" s="55">
        <f>SUMIFS('tuot-INFO'!X:X,'tuot-INFO'!$A:$A,'tuot-PVÄ'!B547)</f>
        <v>6.7700000000000102</v>
      </c>
    </row>
    <row r="548" spans="1:37" x14ac:dyDescent="0.25">
      <c r="A548" s="169">
        <f t="shared" si="154"/>
        <v>43034</v>
      </c>
      <c r="B548" s="23">
        <f>ROUNDUP((A548-Yleistiedot!$B$4)/7,0)</f>
        <v>95</v>
      </c>
      <c r="C548" s="16"/>
      <c r="D548" s="25"/>
      <c r="E548" s="25"/>
      <c r="F548" s="25"/>
      <c r="G548" s="25"/>
      <c r="H548" s="25"/>
      <c r="I548" s="65">
        <f t="shared" si="149"/>
        <v>0</v>
      </c>
      <c r="J548" s="26"/>
      <c r="K548" s="25"/>
      <c r="L548" s="16"/>
      <c r="M548" s="16"/>
      <c r="N548" s="25"/>
      <c r="O548" s="30"/>
      <c r="P548" s="252">
        <f t="shared" si="161"/>
        <v>9990</v>
      </c>
      <c r="Q548" s="253">
        <f t="shared" si="162"/>
        <v>0</v>
      </c>
      <c r="R548" s="253">
        <f t="shared" si="163"/>
        <v>0</v>
      </c>
      <c r="S548" s="251">
        <f>SUMIFS('tuot-rehukirjanpito'!D:D,'tuot-rehukirjanpito'!A:A,A548)</f>
        <v>0</v>
      </c>
      <c r="T548" s="254">
        <f t="shared" si="157"/>
        <v>1098.9000000000001</v>
      </c>
      <c r="U548" s="254">
        <f t="shared" si="158"/>
        <v>1098.8999999999999</v>
      </c>
      <c r="V548" s="252">
        <f t="shared" si="159"/>
        <v>-599999.40000000619</v>
      </c>
      <c r="W548" s="255">
        <f t="shared" si="160"/>
        <v>-546.00000000000557</v>
      </c>
      <c r="X548" s="256" t="str">
        <f t="shared" si="164"/>
        <v/>
      </c>
      <c r="Y548" s="256" t="str">
        <f t="shared" si="165"/>
        <v/>
      </c>
      <c r="Z548" s="224" t="str">
        <f>IF(IFERROR(INDEX('tuot-rehukirjanpito'!I:I,MATCH(A548,'tuot-rehukirjanpito'!G:G,0)),)=0,"",INDEX('tuot-rehukirjanpito'!I:I,MATCH(A548,'tuot-rehukirjanpito'!G:G,0)))</f>
        <v/>
      </c>
      <c r="AA548" s="224">
        <f>SUMIFS('tuot-INFO'!$K$10:$K$115,'tuot-INFO'!$A$10:$A$115,'tuot-PVÄ'!B548)</f>
        <v>66.3</v>
      </c>
      <c r="AB548" s="224">
        <f>SUMIFS('rehu-vesi-INFO'!$R:$R,'rehu-vesi-INFO'!$A:$A,'tuot-PVÄ'!B548)</f>
        <v>1746</v>
      </c>
      <c r="AC548" s="224">
        <f>SUMIFS('rehu-vesi-INFO'!$S:$S,'rehu-vesi-INFO'!$A:$A,'tuot-PVÄ'!B548)</f>
        <v>1853</v>
      </c>
      <c r="AD548" s="224">
        <f t="shared" si="150"/>
        <v>107</v>
      </c>
      <c r="AE548" s="224">
        <f t="shared" si="151"/>
        <v>0</v>
      </c>
      <c r="AF548" s="224">
        <f t="shared" si="152"/>
        <v>174.6</v>
      </c>
      <c r="AG548" s="224">
        <f t="shared" si="153"/>
        <v>10.7</v>
      </c>
      <c r="AH548" s="257">
        <f t="shared" si="155"/>
        <v>0</v>
      </c>
      <c r="AI548" s="258">
        <f t="shared" si="156"/>
        <v>0</v>
      </c>
      <c r="AJ548" s="55">
        <f>SUMIFS('tuot-INFO'!W:W,'tuot-INFO'!$A:$A,'tuot-PVÄ'!B548)</f>
        <v>62.960999999999999</v>
      </c>
      <c r="AK548" s="55">
        <f>SUMIFS('tuot-INFO'!X:X,'tuot-INFO'!$A:$A,'tuot-PVÄ'!B548)</f>
        <v>6.7700000000000102</v>
      </c>
    </row>
    <row r="549" spans="1:37" x14ac:dyDescent="0.25">
      <c r="A549" s="169">
        <f t="shared" si="154"/>
        <v>43035</v>
      </c>
      <c r="B549" s="23">
        <f>ROUNDUP((A549-Yleistiedot!$B$4)/7,0)</f>
        <v>95</v>
      </c>
      <c r="C549" s="16"/>
      <c r="D549" s="25"/>
      <c r="E549" s="25"/>
      <c r="F549" s="25"/>
      <c r="G549" s="25"/>
      <c r="H549" s="25"/>
      <c r="I549" s="65">
        <f t="shared" si="149"/>
        <v>0</v>
      </c>
      <c r="J549" s="26"/>
      <c r="K549" s="25"/>
      <c r="L549" s="16"/>
      <c r="M549" s="16"/>
      <c r="N549" s="25"/>
      <c r="O549" s="30"/>
      <c r="P549" s="252">
        <f t="shared" si="161"/>
        <v>9990</v>
      </c>
      <c r="Q549" s="253">
        <f t="shared" si="162"/>
        <v>0</v>
      </c>
      <c r="R549" s="253">
        <f t="shared" si="163"/>
        <v>0</v>
      </c>
      <c r="S549" s="251">
        <f>SUMIFS('tuot-rehukirjanpito'!D:D,'tuot-rehukirjanpito'!A:A,A549)</f>
        <v>0</v>
      </c>
      <c r="T549" s="254">
        <f t="shared" si="157"/>
        <v>1098.9000000000001</v>
      </c>
      <c r="U549" s="254">
        <f t="shared" si="158"/>
        <v>1098.8999999999999</v>
      </c>
      <c r="V549" s="252">
        <f t="shared" si="159"/>
        <v>-601098.30000000622</v>
      </c>
      <c r="W549" s="255">
        <f t="shared" si="160"/>
        <v>-547.00000000000557</v>
      </c>
      <c r="X549" s="256" t="str">
        <f t="shared" si="164"/>
        <v/>
      </c>
      <c r="Y549" s="256" t="str">
        <f t="shared" si="165"/>
        <v/>
      </c>
      <c r="Z549" s="224" t="str">
        <f>IF(IFERROR(INDEX('tuot-rehukirjanpito'!I:I,MATCH(A549,'tuot-rehukirjanpito'!G:G,0)),)=0,"",INDEX('tuot-rehukirjanpito'!I:I,MATCH(A549,'tuot-rehukirjanpito'!G:G,0)))</f>
        <v/>
      </c>
      <c r="AA549" s="224">
        <f>SUMIFS('tuot-INFO'!$K$10:$K$115,'tuot-INFO'!$A$10:$A$115,'tuot-PVÄ'!B549)</f>
        <v>66.3</v>
      </c>
      <c r="AB549" s="224">
        <f>SUMIFS('rehu-vesi-INFO'!$R:$R,'rehu-vesi-INFO'!$A:$A,'tuot-PVÄ'!B549)</f>
        <v>1746</v>
      </c>
      <c r="AC549" s="224">
        <f>SUMIFS('rehu-vesi-INFO'!$S:$S,'rehu-vesi-INFO'!$A:$A,'tuot-PVÄ'!B549)</f>
        <v>1853</v>
      </c>
      <c r="AD549" s="224">
        <f t="shared" si="150"/>
        <v>107</v>
      </c>
      <c r="AE549" s="224">
        <f t="shared" si="151"/>
        <v>0</v>
      </c>
      <c r="AF549" s="224">
        <f t="shared" si="152"/>
        <v>174.6</v>
      </c>
      <c r="AG549" s="224">
        <f t="shared" si="153"/>
        <v>10.7</v>
      </c>
      <c r="AH549" s="257">
        <f t="shared" si="155"/>
        <v>0</v>
      </c>
      <c r="AI549" s="258">
        <f t="shared" si="156"/>
        <v>0</v>
      </c>
      <c r="AJ549" s="55">
        <f>SUMIFS('tuot-INFO'!W:W,'tuot-INFO'!$A:$A,'tuot-PVÄ'!B549)</f>
        <v>62.960999999999999</v>
      </c>
      <c r="AK549" s="55">
        <f>SUMIFS('tuot-INFO'!X:X,'tuot-INFO'!$A:$A,'tuot-PVÄ'!B549)</f>
        <v>6.7700000000000102</v>
      </c>
    </row>
    <row r="550" spans="1:37" x14ac:dyDescent="0.25">
      <c r="A550" s="169">
        <f t="shared" si="154"/>
        <v>43036</v>
      </c>
      <c r="B550" s="23">
        <f>ROUNDUP((A550-Yleistiedot!$B$4)/7,0)</f>
        <v>96</v>
      </c>
      <c r="C550" s="16"/>
      <c r="D550" s="25"/>
      <c r="E550" s="25"/>
      <c r="F550" s="25"/>
      <c r="G550" s="25"/>
      <c r="H550" s="25"/>
      <c r="I550" s="65">
        <f t="shared" si="149"/>
        <v>0</v>
      </c>
      <c r="J550" s="26"/>
      <c r="K550" s="25"/>
      <c r="L550" s="16"/>
      <c r="M550" s="16"/>
      <c r="N550" s="25"/>
      <c r="O550" s="30"/>
      <c r="P550" s="252">
        <f t="shared" si="161"/>
        <v>9990</v>
      </c>
      <c r="Q550" s="253">
        <f t="shared" si="162"/>
        <v>0</v>
      </c>
      <c r="R550" s="253">
        <f t="shared" si="163"/>
        <v>0</v>
      </c>
      <c r="S550" s="251">
        <f>SUMIFS('tuot-rehukirjanpito'!D:D,'tuot-rehukirjanpito'!A:A,A550)</f>
        <v>0</v>
      </c>
      <c r="T550" s="254">
        <f t="shared" si="157"/>
        <v>1098.9000000000001</v>
      </c>
      <c r="U550" s="254">
        <f t="shared" si="158"/>
        <v>1098.8999999999999</v>
      </c>
      <c r="V550" s="252">
        <f t="shared" si="159"/>
        <v>-602197.20000000624</v>
      </c>
      <c r="W550" s="255">
        <f t="shared" si="160"/>
        <v>-548.00000000000568</v>
      </c>
      <c r="X550" s="256" t="str">
        <f t="shared" si="164"/>
        <v/>
      </c>
      <c r="Y550" s="256" t="str">
        <f t="shared" si="165"/>
        <v/>
      </c>
      <c r="Z550" s="224" t="str">
        <f>IF(IFERROR(INDEX('tuot-rehukirjanpito'!I:I,MATCH(A550,'tuot-rehukirjanpito'!G:G,0)),)=0,"",INDEX('tuot-rehukirjanpito'!I:I,MATCH(A550,'tuot-rehukirjanpito'!G:G,0)))</f>
        <v/>
      </c>
      <c r="AA550" s="224">
        <f>SUMIFS('tuot-INFO'!$K$10:$K$115,'tuot-INFO'!$A$10:$A$115,'tuot-PVÄ'!B550)</f>
        <v>0</v>
      </c>
      <c r="AB550" s="224">
        <f>SUMIFS('rehu-vesi-INFO'!$R:$R,'rehu-vesi-INFO'!$A:$A,'tuot-PVÄ'!B550)</f>
        <v>1746</v>
      </c>
      <c r="AC550" s="224">
        <f>SUMIFS('rehu-vesi-INFO'!$S:$S,'rehu-vesi-INFO'!$A:$A,'tuot-PVÄ'!B550)</f>
        <v>1853</v>
      </c>
      <c r="AD550" s="224">
        <f t="shared" si="150"/>
        <v>107</v>
      </c>
      <c r="AE550" s="224">
        <f t="shared" si="151"/>
        <v>0</v>
      </c>
      <c r="AF550" s="224">
        <f t="shared" si="152"/>
        <v>174.6</v>
      </c>
      <c r="AG550" s="224">
        <f t="shared" si="153"/>
        <v>10.7</v>
      </c>
      <c r="AH550" s="257">
        <f t="shared" si="155"/>
        <v>0</v>
      </c>
      <c r="AI550" s="258">
        <f t="shared" si="156"/>
        <v>0</v>
      </c>
      <c r="AJ550" s="55">
        <f>SUMIFS('tuot-INFO'!W:W,'tuot-INFO'!$A:$A,'tuot-PVÄ'!B550)</f>
        <v>0</v>
      </c>
      <c r="AK550" s="55">
        <f>SUMIFS('tuot-INFO'!X:X,'tuot-INFO'!$A:$A,'tuot-PVÄ'!B550)</f>
        <v>0</v>
      </c>
    </row>
    <row r="551" spans="1:37" x14ac:dyDescent="0.25">
      <c r="A551" s="169">
        <f t="shared" si="154"/>
        <v>43037</v>
      </c>
      <c r="B551" s="23">
        <f>ROUNDUP((A551-Yleistiedot!$B$4)/7,0)</f>
        <v>96</v>
      </c>
      <c r="C551" s="16"/>
      <c r="D551" s="25"/>
      <c r="E551" s="25"/>
      <c r="F551" s="25"/>
      <c r="G551" s="25"/>
      <c r="H551" s="25"/>
      <c r="I551" s="65">
        <f t="shared" si="149"/>
        <v>0</v>
      </c>
      <c r="J551" s="26"/>
      <c r="K551" s="25"/>
      <c r="L551" s="16"/>
      <c r="M551" s="16"/>
      <c r="N551" s="25"/>
      <c r="O551" s="30"/>
      <c r="P551" s="252">
        <f t="shared" si="161"/>
        <v>9990</v>
      </c>
      <c r="Q551" s="253">
        <f t="shared" si="162"/>
        <v>0</v>
      </c>
      <c r="R551" s="253">
        <f t="shared" si="163"/>
        <v>0</v>
      </c>
      <c r="S551" s="251">
        <f>SUMIFS('tuot-rehukirjanpito'!D:D,'tuot-rehukirjanpito'!A:A,A551)</f>
        <v>0</v>
      </c>
      <c r="T551" s="254">
        <f t="shared" si="157"/>
        <v>1098.9000000000001</v>
      </c>
      <c r="U551" s="254">
        <f t="shared" si="158"/>
        <v>1098.8999999999999</v>
      </c>
      <c r="V551" s="252">
        <f t="shared" si="159"/>
        <v>-603296.10000000626</v>
      </c>
      <c r="W551" s="255">
        <f t="shared" si="160"/>
        <v>-549.00000000000568</v>
      </c>
      <c r="X551" s="256" t="str">
        <f t="shared" si="164"/>
        <v/>
      </c>
      <c r="Y551" s="256" t="str">
        <f t="shared" si="165"/>
        <v/>
      </c>
      <c r="Z551" s="224" t="str">
        <f>IF(IFERROR(INDEX('tuot-rehukirjanpito'!I:I,MATCH(A551,'tuot-rehukirjanpito'!G:G,0)),)=0,"",INDEX('tuot-rehukirjanpito'!I:I,MATCH(A551,'tuot-rehukirjanpito'!G:G,0)))</f>
        <v/>
      </c>
      <c r="AA551" s="224">
        <f>SUMIFS('tuot-INFO'!$K$10:$K$115,'tuot-INFO'!$A$10:$A$115,'tuot-PVÄ'!B551)</f>
        <v>0</v>
      </c>
      <c r="AB551" s="224">
        <f>SUMIFS('rehu-vesi-INFO'!$R:$R,'rehu-vesi-INFO'!$A:$A,'tuot-PVÄ'!B551)</f>
        <v>1746</v>
      </c>
      <c r="AC551" s="224">
        <f>SUMIFS('rehu-vesi-INFO'!$S:$S,'rehu-vesi-INFO'!$A:$A,'tuot-PVÄ'!B551)</f>
        <v>1853</v>
      </c>
      <c r="AD551" s="224">
        <f t="shared" si="150"/>
        <v>107</v>
      </c>
      <c r="AE551" s="224">
        <f t="shared" si="151"/>
        <v>0</v>
      </c>
      <c r="AF551" s="224">
        <f t="shared" si="152"/>
        <v>174.6</v>
      </c>
      <c r="AG551" s="224">
        <f t="shared" si="153"/>
        <v>10.7</v>
      </c>
      <c r="AH551" s="257">
        <f t="shared" si="155"/>
        <v>0</v>
      </c>
      <c r="AI551" s="258">
        <f t="shared" si="156"/>
        <v>0</v>
      </c>
      <c r="AJ551" s="55">
        <f>SUMIFS('tuot-INFO'!W:W,'tuot-INFO'!$A:$A,'tuot-PVÄ'!B551)</f>
        <v>0</v>
      </c>
      <c r="AK551" s="55">
        <f>SUMIFS('tuot-INFO'!X:X,'tuot-INFO'!$A:$A,'tuot-PVÄ'!B551)</f>
        <v>0</v>
      </c>
    </row>
    <row r="552" spans="1:37" x14ac:dyDescent="0.25">
      <c r="A552" s="169">
        <f t="shared" si="154"/>
        <v>43038</v>
      </c>
      <c r="B552" s="23">
        <f>ROUNDUP((A552-Yleistiedot!$B$4)/7,0)</f>
        <v>96</v>
      </c>
      <c r="C552" s="16"/>
      <c r="D552" s="25"/>
      <c r="E552" s="25"/>
      <c r="F552" s="25"/>
      <c r="G552" s="25"/>
      <c r="H552" s="25"/>
      <c r="I552" s="65">
        <f t="shared" si="149"/>
        <v>0</v>
      </c>
      <c r="J552" s="26"/>
      <c r="K552" s="25"/>
      <c r="L552" s="16"/>
      <c r="M552" s="16"/>
      <c r="N552" s="25"/>
      <c r="O552" s="30"/>
      <c r="P552" s="252">
        <f t="shared" si="161"/>
        <v>9990</v>
      </c>
      <c r="Q552" s="253">
        <f t="shared" si="162"/>
        <v>0</v>
      </c>
      <c r="R552" s="253">
        <f t="shared" si="163"/>
        <v>0</v>
      </c>
      <c r="S552" s="251">
        <f>SUMIFS('tuot-rehukirjanpito'!D:D,'tuot-rehukirjanpito'!A:A,A552)</f>
        <v>0</v>
      </c>
      <c r="T552" s="254">
        <f t="shared" si="157"/>
        <v>1098.9000000000001</v>
      </c>
      <c r="U552" s="254">
        <f t="shared" si="158"/>
        <v>1098.8999999999999</v>
      </c>
      <c r="V552" s="252">
        <f t="shared" si="159"/>
        <v>-604395.00000000629</v>
      </c>
      <c r="W552" s="255">
        <f t="shared" si="160"/>
        <v>-550.00000000000568</v>
      </c>
      <c r="X552" s="256" t="str">
        <f t="shared" si="164"/>
        <v/>
      </c>
      <c r="Y552" s="256" t="str">
        <f t="shared" si="165"/>
        <v/>
      </c>
      <c r="Z552" s="224" t="str">
        <f>IF(IFERROR(INDEX('tuot-rehukirjanpito'!I:I,MATCH(A552,'tuot-rehukirjanpito'!G:G,0)),)=0,"",INDEX('tuot-rehukirjanpito'!I:I,MATCH(A552,'tuot-rehukirjanpito'!G:G,0)))</f>
        <v/>
      </c>
      <c r="AA552" s="224">
        <f>SUMIFS('tuot-INFO'!$K$10:$K$115,'tuot-INFO'!$A$10:$A$115,'tuot-PVÄ'!B552)</f>
        <v>0</v>
      </c>
      <c r="AB552" s="224">
        <f>SUMIFS('rehu-vesi-INFO'!$R:$R,'rehu-vesi-INFO'!$A:$A,'tuot-PVÄ'!B552)</f>
        <v>1746</v>
      </c>
      <c r="AC552" s="224">
        <f>SUMIFS('rehu-vesi-INFO'!$S:$S,'rehu-vesi-INFO'!$A:$A,'tuot-PVÄ'!B552)</f>
        <v>1853</v>
      </c>
      <c r="AD552" s="224">
        <f t="shared" si="150"/>
        <v>107</v>
      </c>
      <c r="AE552" s="224">
        <f t="shared" si="151"/>
        <v>0</v>
      </c>
      <c r="AF552" s="224">
        <f t="shared" si="152"/>
        <v>174.6</v>
      </c>
      <c r="AG552" s="224">
        <f t="shared" si="153"/>
        <v>10.7</v>
      </c>
      <c r="AH552" s="257">
        <f t="shared" si="155"/>
        <v>0</v>
      </c>
      <c r="AI552" s="258">
        <f t="shared" si="156"/>
        <v>0</v>
      </c>
      <c r="AJ552" s="55">
        <f>SUMIFS('tuot-INFO'!W:W,'tuot-INFO'!$A:$A,'tuot-PVÄ'!B552)</f>
        <v>0</v>
      </c>
      <c r="AK552" s="55">
        <f>SUMIFS('tuot-INFO'!X:X,'tuot-INFO'!$A:$A,'tuot-PVÄ'!B552)</f>
        <v>0</v>
      </c>
    </row>
    <row r="553" spans="1:37" x14ac:dyDescent="0.25">
      <c r="A553" s="169">
        <f t="shared" si="154"/>
        <v>43039</v>
      </c>
      <c r="B553" s="23">
        <f>ROUNDUP((A553-Yleistiedot!$B$4)/7,0)</f>
        <v>96</v>
      </c>
      <c r="C553" s="16"/>
      <c r="D553" s="25"/>
      <c r="E553" s="25"/>
      <c r="F553" s="25"/>
      <c r="G553" s="25"/>
      <c r="H553" s="25"/>
      <c r="I553" s="65">
        <f t="shared" si="149"/>
        <v>0</v>
      </c>
      <c r="J553" s="26"/>
      <c r="K553" s="25"/>
      <c r="L553" s="16"/>
      <c r="M553" s="16"/>
      <c r="N553" s="25"/>
      <c r="O553" s="30"/>
      <c r="P553" s="252">
        <f t="shared" si="161"/>
        <v>9990</v>
      </c>
      <c r="Q553" s="253">
        <f t="shared" si="162"/>
        <v>0</v>
      </c>
      <c r="R553" s="253">
        <f t="shared" si="163"/>
        <v>0</v>
      </c>
      <c r="S553" s="251">
        <f>SUMIFS('tuot-rehukirjanpito'!D:D,'tuot-rehukirjanpito'!A:A,A553)</f>
        <v>0</v>
      </c>
      <c r="T553" s="254">
        <f t="shared" si="157"/>
        <v>1098.9000000000001</v>
      </c>
      <c r="U553" s="254">
        <f t="shared" si="158"/>
        <v>1098.8999999999999</v>
      </c>
      <c r="V553" s="252">
        <f t="shared" si="159"/>
        <v>-605493.90000000631</v>
      </c>
      <c r="W553" s="255">
        <f t="shared" si="160"/>
        <v>-551.00000000000568</v>
      </c>
      <c r="X553" s="256" t="str">
        <f t="shared" si="164"/>
        <v/>
      </c>
      <c r="Y553" s="256" t="str">
        <f t="shared" si="165"/>
        <v/>
      </c>
      <c r="Z553" s="224" t="str">
        <f>IF(IFERROR(INDEX('tuot-rehukirjanpito'!I:I,MATCH(A553,'tuot-rehukirjanpito'!G:G,0)),)=0,"",INDEX('tuot-rehukirjanpito'!I:I,MATCH(A553,'tuot-rehukirjanpito'!G:G,0)))</f>
        <v/>
      </c>
      <c r="AA553" s="224">
        <f>SUMIFS('tuot-INFO'!$K$10:$K$115,'tuot-INFO'!$A$10:$A$115,'tuot-PVÄ'!B553)</f>
        <v>0</v>
      </c>
      <c r="AB553" s="224">
        <f>SUMIFS('rehu-vesi-INFO'!$R:$R,'rehu-vesi-INFO'!$A:$A,'tuot-PVÄ'!B553)</f>
        <v>1746</v>
      </c>
      <c r="AC553" s="224">
        <f>SUMIFS('rehu-vesi-INFO'!$S:$S,'rehu-vesi-INFO'!$A:$A,'tuot-PVÄ'!B553)</f>
        <v>1853</v>
      </c>
      <c r="AD553" s="224">
        <f t="shared" si="150"/>
        <v>107</v>
      </c>
      <c r="AE553" s="224">
        <f t="shared" si="151"/>
        <v>0</v>
      </c>
      <c r="AF553" s="224">
        <f t="shared" si="152"/>
        <v>174.6</v>
      </c>
      <c r="AG553" s="224">
        <f t="shared" si="153"/>
        <v>10.7</v>
      </c>
      <c r="AH553" s="257">
        <f t="shared" si="155"/>
        <v>0</v>
      </c>
      <c r="AI553" s="258">
        <f t="shared" si="156"/>
        <v>0</v>
      </c>
      <c r="AJ553" s="55">
        <f>SUMIFS('tuot-INFO'!W:W,'tuot-INFO'!$A:$A,'tuot-PVÄ'!B553)</f>
        <v>0</v>
      </c>
      <c r="AK553" s="55">
        <f>SUMIFS('tuot-INFO'!X:X,'tuot-INFO'!$A:$A,'tuot-PVÄ'!B553)</f>
        <v>0</v>
      </c>
    </row>
    <row r="554" spans="1:37" x14ac:dyDescent="0.25">
      <c r="A554" s="169">
        <f t="shared" si="154"/>
        <v>43040</v>
      </c>
      <c r="B554" s="23">
        <f>ROUNDUP((A554-Yleistiedot!$B$4)/7,0)</f>
        <v>96</v>
      </c>
      <c r="C554" s="16"/>
      <c r="D554" s="25"/>
      <c r="E554" s="25"/>
      <c r="F554" s="25"/>
      <c r="G554" s="25"/>
      <c r="H554" s="25"/>
      <c r="I554" s="65">
        <f t="shared" si="149"/>
        <v>0</v>
      </c>
      <c r="J554" s="26"/>
      <c r="K554" s="25"/>
      <c r="L554" s="16"/>
      <c r="M554" s="16"/>
      <c r="N554" s="25"/>
      <c r="O554" s="30"/>
      <c r="P554" s="252">
        <f t="shared" si="161"/>
        <v>9990</v>
      </c>
      <c r="Q554" s="253">
        <f t="shared" si="162"/>
        <v>0</v>
      </c>
      <c r="R554" s="253">
        <f t="shared" si="163"/>
        <v>0</v>
      </c>
      <c r="S554" s="251">
        <f>SUMIFS('tuot-rehukirjanpito'!D:D,'tuot-rehukirjanpito'!A:A,A554)</f>
        <v>0</v>
      </c>
      <c r="T554" s="254">
        <f t="shared" si="157"/>
        <v>1098.9000000000001</v>
      </c>
      <c r="U554" s="254">
        <f t="shared" si="158"/>
        <v>1098.8999999999999</v>
      </c>
      <c r="V554" s="252">
        <f t="shared" si="159"/>
        <v>-606592.80000000633</v>
      </c>
      <c r="W554" s="255">
        <f t="shared" si="160"/>
        <v>-552.00000000000568</v>
      </c>
      <c r="X554" s="256" t="str">
        <f t="shared" si="164"/>
        <v/>
      </c>
      <c r="Y554" s="256" t="str">
        <f t="shared" si="165"/>
        <v/>
      </c>
      <c r="Z554" s="224" t="str">
        <f>IF(IFERROR(INDEX('tuot-rehukirjanpito'!I:I,MATCH(A554,'tuot-rehukirjanpito'!G:G,0)),)=0,"",INDEX('tuot-rehukirjanpito'!I:I,MATCH(A554,'tuot-rehukirjanpito'!G:G,0)))</f>
        <v/>
      </c>
      <c r="AA554" s="224">
        <f>SUMIFS('tuot-INFO'!$K$10:$K$115,'tuot-INFO'!$A$10:$A$115,'tuot-PVÄ'!B554)</f>
        <v>0</v>
      </c>
      <c r="AB554" s="224">
        <f>SUMIFS('rehu-vesi-INFO'!$R:$R,'rehu-vesi-INFO'!$A:$A,'tuot-PVÄ'!B554)</f>
        <v>1746</v>
      </c>
      <c r="AC554" s="224">
        <f>SUMIFS('rehu-vesi-INFO'!$S:$S,'rehu-vesi-INFO'!$A:$A,'tuot-PVÄ'!B554)</f>
        <v>1853</v>
      </c>
      <c r="AD554" s="224">
        <f t="shared" si="150"/>
        <v>107</v>
      </c>
      <c r="AE554" s="224">
        <f t="shared" si="151"/>
        <v>0</v>
      </c>
      <c r="AF554" s="224">
        <f t="shared" si="152"/>
        <v>174.6</v>
      </c>
      <c r="AG554" s="224">
        <f t="shared" si="153"/>
        <v>10.7</v>
      </c>
      <c r="AH554" s="257">
        <f t="shared" si="155"/>
        <v>0</v>
      </c>
      <c r="AI554" s="258">
        <f t="shared" si="156"/>
        <v>0</v>
      </c>
      <c r="AJ554" s="55">
        <f>SUMIFS('tuot-INFO'!W:W,'tuot-INFO'!$A:$A,'tuot-PVÄ'!B554)</f>
        <v>0</v>
      </c>
      <c r="AK554" s="55">
        <f>SUMIFS('tuot-INFO'!X:X,'tuot-INFO'!$A:$A,'tuot-PVÄ'!B554)</f>
        <v>0</v>
      </c>
    </row>
    <row r="555" spans="1:37" x14ac:dyDescent="0.25">
      <c r="A555" s="169">
        <f t="shared" si="154"/>
        <v>43041</v>
      </c>
      <c r="B555" s="23">
        <f>ROUNDUP((A555-Yleistiedot!$B$4)/7,0)</f>
        <v>96</v>
      </c>
      <c r="C555" s="16"/>
      <c r="D555" s="25"/>
      <c r="E555" s="25"/>
      <c r="F555" s="25"/>
      <c r="G555" s="25"/>
      <c r="H555" s="25"/>
      <c r="I555" s="65">
        <f t="shared" si="149"/>
        <v>0</v>
      </c>
      <c r="J555" s="26"/>
      <c r="K555" s="25"/>
      <c r="L555" s="16"/>
      <c r="M555" s="16"/>
      <c r="N555" s="25"/>
      <c r="O555" s="30"/>
      <c r="P555" s="252">
        <f t="shared" si="161"/>
        <v>9990</v>
      </c>
      <c r="Q555" s="253">
        <f t="shared" si="162"/>
        <v>0</v>
      </c>
      <c r="R555" s="253">
        <f t="shared" si="163"/>
        <v>0</v>
      </c>
      <c r="S555" s="251">
        <f>SUMIFS('tuot-rehukirjanpito'!D:D,'tuot-rehukirjanpito'!A:A,A555)</f>
        <v>0</v>
      </c>
      <c r="T555" s="254">
        <f t="shared" si="157"/>
        <v>1098.9000000000001</v>
      </c>
      <c r="U555" s="254">
        <f t="shared" si="158"/>
        <v>1098.8999999999999</v>
      </c>
      <c r="V555" s="252">
        <f t="shared" si="159"/>
        <v>-607691.70000000636</v>
      </c>
      <c r="W555" s="255">
        <f t="shared" si="160"/>
        <v>-553.00000000000568</v>
      </c>
      <c r="X555" s="256" t="str">
        <f t="shared" si="164"/>
        <v/>
      </c>
      <c r="Y555" s="256" t="str">
        <f t="shared" si="165"/>
        <v/>
      </c>
      <c r="Z555" s="224" t="str">
        <f>IF(IFERROR(INDEX('tuot-rehukirjanpito'!I:I,MATCH(A555,'tuot-rehukirjanpito'!G:G,0)),)=0,"",INDEX('tuot-rehukirjanpito'!I:I,MATCH(A555,'tuot-rehukirjanpito'!G:G,0)))</f>
        <v/>
      </c>
      <c r="AA555" s="224">
        <f>SUMIFS('tuot-INFO'!$K$10:$K$115,'tuot-INFO'!$A$10:$A$115,'tuot-PVÄ'!B555)</f>
        <v>0</v>
      </c>
      <c r="AB555" s="224">
        <f>SUMIFS('rehu-vesi-INFO'!$R:$R,'rehu-vesi-INFO'!$A:$A,'tuot-PVÄ'!B555)</f>
        <v>1746</v>
      </c>
      <c r="AC555" s="224">
        <f>SUMIFS('rehu-vesi-INFO'!$S:$S,'rehu-vesi-INFO'!$A:$A,'tuot-PVÄ'!B555)</f>
        <v>1853</v>
      </c>
      <c r="AD555" s="224">
        <f t="shared" si="150"/>
        <v>107</v>
      </c>
      <c r="AE555" s="224">
        <f t="shared" si="151"/>
        <v>0</v>
      </c>
      <c r="AF555" s="224">
        <f t="shared" si="152"/>
        <v>174.6</v>
      </c>
      <c r="AG555" s="224">
        <f t="shared" si="153"/>
        <v>10.7</v>
      </c>
      <c r="AH555" s="257">
        <f t="shared" si="155"/>
        <v>0</v>
      </c>
      <c r="AI555" s="258">
        <f t="shared" si="156"/>
        <v>0</v>
      </c>
      <c r="AJ555" s="55">
        <f>SUMIFS('tuot-INFO'!W:W,'tuot-INFO'!$A:$A,'tuot-PVÄ'!B555)</f>
        <v>0</v>
      </c>
      <c r="AK555" s="55">
        <f>SUMIFS('tuot-INFO'!X:X,'tuot-INFO'!$A:$A,'tuot-PVÄ'!B555)</f>
        <v>0</v>
      </c>
    </row>
    <row r="556" spans="1:37" x14ac:dyDescent="0.25">
      <c r="A556" s="169">
        <f t="shared" si="154"/>
        <v>43042</v>
      </c>
      <c r="B556" s="23">
        <f>ROUNDUP((A556-Yleistiedot!$B$4)/7,0)</f>
        <v>96</v>
      </c>
      <c r="C556" s="16"/>
      <c r="D556" s="25"/>
      <c r="E556" s="25"/>
      <c r="F556" s="25"/>
      <c r="G556" s="25"/>
      <c r="H556" s="25"/>
      <c r="I556" s="65">
        <f t="shared" si="149"/>
        <v>0</v>
      </c>
      <c r="J556" s="26"/>
      <c r="K556" s="25"/>
      <c r="L556" s="16"/>
      <c r="M556" s="16"/>
      <c r="N556" s="25"/>
      <c r="O556" s="30"/>
      <c r="P556" s="252">
        <f t="shared" si="161"/>
        <v>9990</v>
      </c>
      <c r="Q556" s="253">
        <f t="shared" si="162"/>
        <v>0</v>
      </c>
      <c r="R556" s="253">
        <f t="shared" si="163"/>
        <v>0</v>
      </c>
      <c r="S556" s="251">
        <f>SUMIFS('tuot-rehukirjanpito'!D:D,'tuot-rehukirjanpito'!A:A,A556)</f>
        <v>0</v>
      </c>
      <c r="T556" s="254">
        <f t="shared" si="157"/>
        <v>1098.9000000000001</v>
      </c>
      <c r="U556" s="254">
        <f t="shared" si="158"/>
        <v>1098.8999999999999</v>
      </c>
      <c r="V556" s="252">
        <f t="shared" si="159"/>
        <v>-608790.60000000638</v>
      </c>
      <c r="W556" s="255">
        <f t="shared" si="160"/>
        <v>-554.0000000000058</v>
      </c>
      <c r="X556" s="256" t="str">
        <f t="shared" si="164"/>
        <v/>
      </c>
      <c r="Y556" s="256" t="str">
        <f t="shared" si="165"/>
        <v/>
      </c>
      <c r="Z556" s="224" t="str">
        <f>IF(IFERROR(INDEX('tuot-rehukirjanpito'!I:I,MATCH(A556,'tuot-rehukirjanpito'!G:G,0)),)=0,"",INDEX('tuot-rehukirjanpito'!I:I,MATCH(A556,'tuot-rehukirjanpito'!G:G,0)))</f>
        <v/>
      </c>
      <c r="AA556" s="224">
        <f>SUMIFS('tuot-INFO'!$K$10:$K$115,'tuot-INFO'!$A$10:$A$115,'tuot-PVÄ'!B556)</f>
        <v>0</v>
      </c>
      <c r="AB556" s="224">
        <f>SUMIFS('rehu-vesi-INFO'!$R:$R,'rehu-vesi-INFO'!$A:$A,'tuot-PVÄ'!B556)</f>
        <v>1746</v>
      </c>
      <c r="AC556" s="224">
        <f>SUMIFS('rehu-vesi-INFO'!$S:$S,'rehu-vesi-INFO'!$A:$A,'tuot-PVÄ'!B556)</f>
        <v>1853</v>
      </c>
      <c r="AD556" s="224">
        <f t="shared" si="150"/>
        <v>107</v>
      </c>
      <c r="AE556" s="224">
        <f t="shared" si="151"/>
        <v>0</v>
      </c>
      <c r="AF556" s="224">
        <f t="shared" si="152"/>
        <v>174.6</v>
      </c>
      <c r="AG556" s="224">
        <f t="shared" si="153"/>
        <v>10.7</v>
      </c>
      <c r="AH556" s="257">
        <f t="shared" si="155"/>
        <v>0</v>
      </c>
      <c r="AI556" s="258">
        <f t="shared" si="156"/>
        <v>0</v>
      </c>
      <c r="AJ556" s="55">
        <f>SUMIFS('tuot-INFO'!W:W,'tuot-INFO'!$A:$A,'tuot-PVÄ'!B556)</f>
        <v>0</v>
      </c>
      <c r="AK556" s="55">
        <f>SUMIFS('tuot-INFO'!X:X,'tuot-INFO'!$A:$A,'tuot-PVÄ'!B556)</f>
        <v>0</v>
      </c>
    </row>
    <row r="557" spans="1:37" x14ac:dyDescent="0.25">
      <c r="A557" s="169">
        <f t="shared" si="154"/>
        <v>43043</v>
      </c>
      <c r="B557" s="23">
        <f>ROUNDUP((A557-Yleistiedot!$B$4)/7,0)</f>
        <v>97</v>
      </c>
      <c r="C557" s="16"/>
      <c r="D557" s="25"/>
      <c r="E557" s="25"/>
      <c r="F557" s="25"/>
      <c r="G557" s="25"/>
      <c r="H557" s="25"/>
      <c r="I557" s="65">
        <f t="shared" si="149"/>
        <v>0</v>
      </c>
      <c r="J557" s="26"/>
      <c r="K557" s="25"/>
      <c r="L557" s="16"/>
      <c r="M557" s="16"/>
      <c r="N557" s="25"/>
      <c r="O557" s="30"/>
      <c r="P557" s="252">
        <f t="shared" si="161"/>
        <v>9990</v>
      </c>
      <c r="Q557" s="253">
        <f t="shared" si="162"/>
        <v>0</v>
      </c>
      <c r="R557" s="253">
        <f t="shared" si="163"/>
        <v>0</v>
      </c>
      <c r="S557" s="251">
        <f>SUMIFS('tuot-rehukirjanpito'!D:D,'tuot-rehukirjanpito'!A:A,A557)</f>
        <v>0</v>
      </c>
      <c r="T557" s="254">
        <f t="shared" si="157"/>
        <v>1098.9000000000001</v>
      </c>
      <c r="U557" s="254">
        <f t="shared" si="158"/>
        <v>1098.8999999999999</v>
      </c>
      <c r="V557" s="252">
        <f t="shared" si="159"/>
        <v>-609889.5000000064</v>
      </c>
      <c r="W557" s="255">
        <f t="shared" si="160"/>
        <v>-555.0000000000058</v>
      </c>
      <c r="X557" s="256" t="str">
        <f t="shared" si="164"/>
        <v/>
      </c>
      <c r="Y557" s="256" t="str">
        <f t="shared" si="165"/>
        <v/>
      </c>
      <c r="Z557" s="224" t="str">
        <f>IF(IFERROR(INDEX('tuot-rehukirjanpito'!I:I,MATCH(A557,'tuot-rehukirjanpito'!G:G,0)),)=0,"",INDEX('tuot-rehukirjanpito'!I:I,MATCH(A557,'tuot-rehukirjanpito'!G:G,0)))</f>
        <v/>
      </c>
      <c r="AA557" s="224">
        <f>SUMIFS('tuot-INFO'!$K$10:$K$115,'tuot-INFO'!$A$10:$A$115,'tuot-PVÄ'!B557)</f>
        <v>0</v>
      </c>
      <c r="AB557" s="224">
        <f>SUMIFS('rehu-vesi-INFO'!$R:$R,'rehu-vesi-INFO'!$A:$A,'tuot-PVÄ'!B557)</f>
        <v>1746</v>
      </c>
      <c r="AC557" s="224">
        <f>SUMIFS('rehu-vesi-INFO'!$S:$S,'rehu-vesi-INFO'!$A:$A,'tuot-PVÄ'!B557)</f>
        <v>1853</v>
      </c>
      <c r="AD557" s="224">
        <f t="shared" si="150"/>
        <v>107</v>
      </c>
      <c r="AE557" s="224">
        <f t="shared" si="151"/>
        <v>0</v>
      </c>
      <c r="AF557" s="224">
        <f t="shared" si="152"/>
        <v>174.6</v>
      </c>
      <c r="AG557" s="224">
        <f t="shared" si="153"/>
        <v>10.7</v>
      </c>
      <c r="AH557" s="257">
        <f t="shared" si="155"/>
        <v>0</v>
      </c>
      <c r="AI557" s="258">
        <f t="shared" si="156"/>
        <v>0</v>
      </c>
      <c r="AJ557" s="55">
        <f>SUMIFS('tuot-INFO'!W:W,'tuot-INFO'!$A:$A,'tuot-PVÄ'!B557)</f>
        <v>0</v>
      </c>
      <c r="AK557" s="55">
        <f>SUMIFS('tuot-INFO'!X:X,'tuot-INFO'!$A:$A,'tuot-PVÄ'!B557)</f>
        <v>0</v>
      </c>
    </row>
    <row r="558" spans="1:37" x14ac:dyDescent="0.25">
      <c r="A558" s="169">
        <f t="shared" si="154"/>
        <v>43044</v>
      </c>
      <c r="B558" s="23">
        <f>ROUNDUP((A558-Yleistiedot!$B$4)/7,0)</f>
        <v>97</v>
      </c>
      <c r="C558" s="16"/>
      <c r="D558" s="25"/>
      <c r="E558" s="25"/>
      <c r="F558" s="25"/>
      <c r="G558" s="25"/>
      <c r="H558" s="25"/>
      <c r="I558" s="65">
        <f t="shared" si="149"/>
        <v>0</v>
      </c>
      <c r="J558" s="26"/>
      <c r="K558" s="25"/>
      <c r="L558" s="16"/>
      <c r="M558" s="16"/>
      <c r="N558" s="25"/>
      <c r="O558" s="30"/>
      <c r="P558" s="252">
        <f t="shared" si="161"/>
        <v>9990</v>
      </c>
      <c r="Q558" s="253">
        <f t="shared" si="162"/>
        <v>0</v>
      </c>
      <c r="R558" s="253">
        <f t="shared" si="163"/>
        <v>0</v>
      </c>
      <c r="S558" s="251">
        <f>SUMIFS('tuot-rehukirjanpito'!D:D,'tuot-rehukirjanpito'!A:A,A558)</f>
        <v>0</v>
      </c>
      <c r="T558" s="254">
        <f t="shared" si="157"/>
        <v>1098.9000000000001</v>
      </c>
      <c r="U558" s="254">
        <f t="shared" si="158"/>
        <v>1098.8999999999999</v>
      </c>
      <c r="V558" s="252">
        <f t="shared" si="159"/>
        <v>-610988.40000000643</v>
      </c>
      <c r="W558" s="255">
        <f t="shared" si="160"/>
        <v>-556.0000000000058</v>
      </c>
      <c r="X558" s="256" t="str">
        <f t="shared" si="164"/>
        <v/>
      </c>
      <c r="Y558" s="256" t="str">
        <f t="shared" si="165"/>
        <v/>
      </c>
      <c r="Z558" s="224" t="str">
        <f>IF(IFERROR(INDEX('tuot-rehukirjanpito'!I:I,MATCH(A558,'tuot-rehukirjanpito'!G:G,0)),)=0,"",INDEX('tuot-rehukirjanpito'!I:I,MATCH(A558,'tuot-rehukirjanpito'!G:G,0)))</f>
        <v/>
      </c>
      <c r="AA558" s="224">
        <f>SUMIFS('tuot-INFO'!$K$10:$K$115,'tuot-INFO'!$A$10:$A$115,'tuot-PVÄ'!B558)</f>
        <v>0</v>
      </c>
      <c r="AB558" s="224">
        <f>SUMIFS('rehu-vesi-INFO'!$R:$R,'rehu-vesi-INFO'!$A:$A,'tuot-PVÄ'!B558)</f>
        <v>1746</v>
      </c>
      <c r="AC558" s="224">
        <f>SUMIFS('rehu-vesi-INFO'!$S:$S,'rehu-vesi-INFO'!$A:$A,'tuot-PVÄ'!B558)</f>
        <v>1853</v>
      </c>
      <c r="AD558" s="224">
        <f t="shared" si="150"/>
        <v>107</v>
      </c>
      <c r="AE558" s="224">
        <f t="shared" si="151"/>
        <v>0</v>
      </c>
      <c r="AF558" s="224">
        <f t="shared" si="152"/>
        <v>174.6</v>
      </c>
      <c r="AG558" s="224">
        <f t="shared" si="153"/>
        <v>10.7</v>
      </c>
      <c r="AH558" s="257">
        <f t="shared" si="155"/>
        <v>0</v>
      </c>
      <c r="AI558" s="258">
        <f t="shared" si="156"/>
        <v>0</v>
      </c>
      <c r="AJ558" s="55">
        <f>SUMIFS('tuot-INFO'!W:W,'tuot-INFO'!$A:$A,'tuot-PVÄ'!B558)</f>
        <v>0</v>
      </c>
      <c r="AK558" s="55">
        <f>SUMIFS('tuot-INFO'!X:X,'tuot-INFO'!$A:$A,'tuot-PVÄ'!B558)</f>
        <v>0</v>
      </c>
    </row>
    <row r="559" spans="1:37" x14ac:dyDescent="0.25">
      <c r="A559" s="169">
        <f t="shared" si="154"/>
        <v>43045</v>
      </c>
      <c r="B559" s="23">
        <f>ROUNDUP((A559-Yleistiedot!$B$4)/7,0)</f>
        <v>97</v>
      </c>
      <c r="C559" s="16"/>
      <c r="D559" s="25"/>
      <c r="E559" s="25"/>
      <c r="F559" s="25"/>
      <c r="G559" s="25"/>
      <c r="H559" s="25"/>
      <c r="I559" s="65">
        <f t="shared" si="149"/>
        <v>0</v>
      </c>
      <c r="J559" s="26"/>
      <c r="K559" s="25"/>
      <c r="L559" s="16"/>
      <c r="M559" s="16"/>
      <c r="N559" s="25"/>
      <c r="O559" s="30"/>
      <c r="P559" s="252">
        <f t="shared" si="161"/>
        <v>9990</v>
      </c>
      <c r="Q559" s="253">
        <f t="shared" si="162"/>
        <v>0</v>
      </c>
      <c r="R559" s="253">
        <f t="shared" si="163"/>
        <v>0</v>
      </c>
      <c r="S559" s="251">
        <f>SUMIFS('tuot-rehukirjanpito'!D:D,'tuot-rehukirjanpito'!A:A,A559)</f>
        <v>0</v>
      </c>
      <c r="T559" s="254">
        <f t="shared" si="157"/>
        <v>1098.9000000000001</v>
      </c>
      <c r="U559" s="254">
        <f t="shared" si="158"/>
        <v>1098.8999999999999</v>
      </c>
      <c r="V559" s="252">
        <f t="shared" si="159"/>
        <v>-612087.30000000645</v>
      </c>
      <c r="W559" s="255">
        <f t="shared" si="160"/>
        <v>-557.0000000000058</v>
      </c>
      <c r="X559" s="256" t="str">
        <f t="shared" si="164"/>
        <v/>
      </c>
      <c r="Y559" s="256" t="str">
        <f t="shared" si="165"/>
        <v/>
      </c>
      <c r="Z559" s="224" t="str">
        <f>IF(IFERROR(INDEX('tuot-rehukirjanpito'!I:I,MATCH(A559,'tuot-rehukirjanpito'!G:G,0)),)=0,"",INDEX('tuot-rehukirjanpito'!I:I,MATCH(A559,'tuot-rehukirjanpito'!G:G,0)))</f>
        <v/>
      </c>
      <c r="AA559" s="224">
        <f>SUMIFS('tuot-INFO'!$K$10:$K$115,'tuot-INFO'!$A$10:$A$115,'tuot-PVÄ'!B559)</f>
        <v>0</v>
      </c>
      <c r="AB559" s="224">
        <f>SUMIFS('rehu-vesi-INFO'!$R:$R,'rehu-vesi-INFO'!$A:$A,'tuot-PVÄ'!B559)</f>
        <v>1746</v>
      </c>
      <c r="AC559" s="224">
        <f>SUMIFS('rehu-vesi-INFO'!$S:$S,'rehu-vesi-INFO'!$A:$A,'tuot-PVÄ'!B559)</f>
        <v>1853</v>
      </c>
      <c r="AD559" s="224">
        <f t="shared" si="150"/>
        <v>107</v>
      </c>
      <c r="AE559" s="224">
        <f t="shared" si="151"/>
        <v>0</v>
      </c>
      <c r="AF559" s="224">
        <f t="shared" si="152"/>
        <v>174.6</v>
      </c>
      <c r="AG559" s="224">
        <f t="shared" si="153"/>
        <v>10.7</v>
      </c>
      <c r="AH559" s="257">
        <f t="shared" si="155"/>
        <v>0</v>
      </c>
      <c r="AI559" s="258">
        <f t="shared" si="156"/>
        <v>0</v>
      </c>
      <c r="AJ559" s="55">
        <f>SUMIFS('tuot-INFO'!W:W,'tuot-INFO'!$A:$A,'tuot-PVÄ'!B559)</f>
        <v>0</v>
      </c>
      <c r="AK559" s="55">
        <f>SUMIFS('tuot-INFO'!X:X,'tuot-INFO'!$A:$A,'tuot-PVÄ'!B559)</f>
        <v>0</v>
      </c>
    </row>
    <row r="560" spans="1:37" x14ac:dyDescent="0.25">
      <c r="A560" s="169">
        <f t="shared" si="154"/>
        <v>43046</v>
      </c>
      <c r="B560" s="23">
        <f>ROUNDUP((A560-Yleistiedot!$B$4)/7,0)</f>
        <v>97</v>
      </c>
      <c r="C560" s="16"/>
      <c r="D560" s="25"/>
      <c r="E560" s="25"/>
      <c r="F560" s="25"/>
      <c r="G560" s="25"/>
      <c r="H560" s="25"/>
      <c r="I560" s="65">
        <f t="shared" si="149"/>
        <v>0</v>
      </c>
      <c r="J560" s="26"/>
      <c r="K560" s="25"/>
      <c r="L560" s="16"/>
      <c r="M560" s="16"/>
      <c r="N560" s="25"/>
      <c r="O560" s="30"/>
      <c r="P560" s="252">
        <f t="shared" si="161"/>
        <v>9990</v>
      </c>
      <c r="Q560" s="253">
        <f t="shared" si="162"/>
        <v>0</v>
      </c>
      <c r="R560" s="253">
        <f t="shared" si="163"/>
        <v>0</v>
      </c>
      <c r="S560" s="251">
        <f>SUMIFS('tuot-rehukirjanpito'!D:D,'tuot-rehukirjanpito'!A:A,A560)</f>
        <v>0</v>
      </c>
      <c r="T560" s="254">
        <f t="shared" si="157"/>
        <v>1098.9000000000001</v>
      </c>
      <c r="U560" s="254">
        <f t="shared" si="158"/>
        <v>1098.8999999999999</v>
      </c>
      <c r="V560" s="252">
        <f t="shared" si="159"/>
        <v>-613186.20000000647</v>
      </c>
      <c r="W560" s="255">
        <f t="shared" si="160"/>
        <v>-558.0000000000058</v>
      </c>
      <c r="X560" s="256" t="str">
        <f t="shared" si="164"/>
        <v/>
      </c>
      <c r="Y560" s="256" t="str">
        <f t="shared" si="165"/>
        <v/>
      </c>
      <c r="Z560" s="224" t="str">
        <f>IF(IFERROR(INDEX('tuot-rehukirjanpito'!I:I,MATCH(A560,'tuot-rehukirjanpito'!G:G,0)),)=0,"",INDEX('tuot-rehukirjanpito'!I:I,MATCH(A560,'tuot-rehukirjanpito'!G:G,0)))</f>
        <v/>
      </c>
      <c r="AA560" s="224">
        <f>SUMIFS('tuot-INFO'!$K$10:$K$115,'tuot-INFO'!$A$10:$A$115,'tuot-PVÄ'!B560)</f>
        <v>0</v>
      </c>
      <c r="AB560" s="224">
        <f>SUMIFS('rehu-vesi-INFO'!$R:$R,'rehu-vesi-INFO'!$A:$A,'tuot-PVÄ'!B560)</f>
        <v>1746</v>
      </c>
      <c r="AC560" s="224">
        <f>SUMIFS('rehu-vesi-INFO'!$S:$S,'rehu-vesi-INFO'!$A:$A,'tuot-PVÄ'!B560)</f>
        <v>1853</v>
      </c>
      <c r="AD560" s="224">
        <f t="shared" si="150"/>
        <v>107</v>
      </c>
      <c r="AE560" s="224">
        <f t="shared" si="151"/>
        <v>0</v>
      </c>
      <c r="AF560" s="224">
        <f t="shared" si="152"/>
        <v>174.6</v>
      </c>
      <c r="AG560" s="224">
        <f t="shared" si="153"/>
        <v>10.7</v>
      </c>
      <c r="AH560" s="257">
        <f t="shared" si="155"/>
        <v>0</v>
      </c>
      <c r="AI560" s="258">
        <f t="shared" si="156"/>
        <v>0</v>
      </c>
      <c r="AJ560" s="55">
        <f>SUMIFS('tuot-INFO'!W:W,'tuot-INFO'!$A:$A,'tuot-PVÄ'!B560)</f>
        <v>0</v>
      </c>
      <c r="AK560" s="55">
        <f>SUMIFS('tuot-INFO'!X:X,'tuot-INFO'!$A:$A,'tuot-PVÄ'!B560)</f>
        <v>0</v>
      </c>
    </row>
    <row r="561" spans="1:37" x14ac:dyDescent="0.25">
      <c r="A561" s="169">
        <f t="shared" si="154"/>
        <v>43047</v>
      </c>
      <c r="B561" s="23">
        <f>ROUNDUP((A561-Yleistiedot!$B$4)/7,0)</f>
        <v>97</v>
      </c>
      <c r="C561" s="16"/>
      <c r="D561" s="25"/>
      <c r="E561" s="25"/>
      <c r="F561" s="25"/>
      <c r="G561" s="25"/>
      <c r="H561" s="25"/>
      <c r="I561" s="65">
        <f t="shared" si="149"/>
        <v>0</v>
      </c>
      <c r="J561" s="26"/>
      <c r="K561" s="25"/>
      <c r="L561" s="16"/>
      <c r="M561" s="16"/>
      <c r="N561" s="25"/>
      <c r="O561" s="30"/>
      <c r="P561" s="252">
        <f t="shared" si="161"/>
        <v>9990</v>
      </c>
      <c r="Q561" s="253">
        <f t="shared" si="162"/>
        <v>0</v>
      </c>
      <c r="R561" s="253">
        <f t="shared" si="163"/>
        <v>0</v>
      </c>
      <c r="S561" s="251">
        <f>SUMIFS('tuot-rehukirjanpito'!D:D,'tuot-rehukirjanpito'!A:A,A561)</f>
        <v>0</v>
      </c>
      <c r="T561" s="254">
        <f t="shared" si="157"/>
        <v>1098.9000000000001</v>
      </c>
      <c r="U561" s="254">
        <f t="shared" si="158"/>
        <v>1098.8999999999999</v>
      </c>
      <c r="V561" s="252">
        <f t="shared" si="159"/>
        <v>-614285.1000000065</v>
      </c>
      <c r="W561" s="255">
        <f t="shared" si="160"/>
        <v>-559.00000000000591</v>
      </c>
      <c r="X561" s="256" t="str">
        <f t="shared" si="164"/>
        <v/>
      </c>
      <c r="Y561" s="256" t="str">
        <f t="shared" si="165"/>
        <v/>
      </c>
      <c r="Z561" s="224" t="str">
        <f>IF(IFERROR(INDEX('tuot-rehukirjanpito'!I:I,MATCH(A561,'tuot-rehukirjanpito'!G:G,0)),)=0,"",INDEX('tuot-rehukirjanpito'!I:I,MATCH(A561,'tuot-rehukirjanpito'!G:G,0)))</f>
        <v/>
      </c>
      <c r="AA561" s="224">
        <f>SUMIFS('tuot-INFO'!$K$10:$K$115,'tuot-INFO'!$A$10:$A$115,'tuot-PVÄ'!B561)</f>
        <v>0</v>
      </c>
      <c r="AB561" s="224">
        <f>SUMIFS('rehu-vesi-INFO'!$R:$R,'rehu-vesi-INFO'!$A:$A,'tuot-PVÄ'!B561)</f>
        <v>1746</v>
      </c>
      <c r="AC561" s="224">
        <f>SUMIFS('rehu-vesi-INFO'!$S:$S,'rehu-vesi-INFO'!$A:$A,'tuot-PVÄ'!B561)</f>
        <v>1853</v>
      </c>
      <c r="AD561" s="224">
        <f t="shared" si="150"/>
        <v>107</v>
      </c>
      <c r="AE561" s="224">
        <f t="shared" si="151"/>
        <v>0</v>
      </c>
      <c r="AF561" s="224">
        <f t="shared" si="152"/>
        <v>174.6</v>
      </c>
      <c r="AG561" s="224">
        <f t="shared" si="153"/>
        <v>10.7</v>
      </c>
      <c r="AH561" s="257">
        <f t="shared" si="155"/>
        <v>0</v>
      </c>
      <c r="AI561" s="258">
        <f t="shared" si="156"/>
        <v>0</v>
      </c>
      <c r="AJ561" s="55">
        <f>SUMIFS('tuot-INFO'!W:W,'tuot-INFO'!$A:$A,'tuot-PVÄ'!B561)</f>
        <v>0</v>
      </c>
      <c r="AK561" s="55">
        <f>SUMIFS('tuot-INFO'!X:X,'tuot-INFO'!$A:$A,'tuot-PVÄ'!B561)</f>
        <v>0</v>
      </c>
    </row>
    <row r="562" spans="1:37" x14ac:dyDescent="0.25">
      <c r="A562" s="169">
        <f t="shared" si="154"/>
        <v>43048</v>
      </c>
      <c r="B562" s="23">
        <f>ROUNDUP((A562-Yleistiedot!$B$4)/7,0)</f>
        <v>97</v>
      </c>
      <c r="C562" s="16"/>
      <c r="D562" s="25"/>
      <c r="E562" s="25"/>
      <c r="F562" s="25"/>
      <c r="G562" s="25"/>
      <c r="H562" s="25"/>
      <c r="I562" s="65">
        <f t="shared" si="149"/>
        <v>0</v>
      </c>
      <c r="J562" s="26"/>
      <c r="K562" s="25"/>
      <c r="L562" s="16"/>
      <c r="M562" s="16"/>
      <c r="N562" s="25"/>
      <c r="O562" s="30"/>
      <c r="P562" s="252">
        <f t="shared" si="161"/>
        <v>9990</v>
      </c>
      <c r="Q562" s="253">
        <f t="shared" si="162"/>
        <v>0</v>
      </c>
      <c r="R562" s="253">
        <f t="shared" si="163"/>
        <v>0</v>
      </c>
      <c r="S562" s="251">
        <f>SUMIFS('tuot-rehukirjanpito'!D:D,'tuot-rehukirjanpito'!A:A,A562)</f>
        <v>0</v>
      </c>
      <c r="T562" s="254">
        <f t="shared" si="157"/>
        <v>1098.9000000000001</v>
      </c>
      <c r="U562" s="254">
        <f t="shared" si="158"/>
        <v>1098.8999999999999</v>
      </c>
      <c r="V562" s="252">
        <f t="shared" si="159"/>
        <v>-615384.00000000652</v>
      </c>
      <c r="W562" s="255">
        <f t="shared" si="160"/>
        <v>-560.00000000000591</v>
      </c>
      <c r="X562" s="256" t="str">
        <f t="shared" si="164"/>
        <v/>
      </c>
      <c r="Y562" s="256" t="str">
        <f t="shared" si="165"/>
        <v/>
      </c>
      <c r="Z562" s="224" t="str">
        <f>IF(IFERROR(INDEX('tuot-rehukirjanpito'!I:I,MATCH(A562,'tuot-rehukirjanpito'!G:G,0)),)=0,"",INDEX('tuot-rehukirjanpito'!I:I,MATCH(A562,'tuot-rehukirjanpito'!G:G,0)))</f>
        <v/>
      </c>
      <c r="AA562" s="224">
        <f>SUMIFS('tuot-INFO'!$K$10:$K$115,'tuot-INFO'!$A$10:$A$115,'tuot-PVÄ'!B562)</f>
        <v>0</v>
      </c>
      <c r="AB562" s="224">
        <f>SUMIFS('rehu-vesi-INFO'!$R:$R,'rehu-vesi-INFO'!$A:$A,'tuot-PVÄ'!B562)</f>
        <v>1746</v>
      </c>
      <c r="AC562" s="224">
        <f>SUMIFS('rehu-vesi-INFO'!$S:$S,'rehu-vesi-INFO'!$A:$A,'tuot-PVÄ'!B562)</f>
        <v>1853</v>
      </c>
      <c r="AD562" s="224">
        <f t="shared" si="150"/>
        <v>107</v>
      </c>
      <c r="AE562" s="224">
        <f t="shared" si="151"/>
        <v>0</v>
      </c>
      <c r="AF562" s="224">
        <f t="shared" si="152"/>
        <v>174.6</v>
      </c>
      <c r="AG562" s="224">
        <f t="shared" si="153"/>
        <v>10.7</v>
      </c>
      <c r="AH562" s="257">
        <f t="shared" si="155"/>
        <v>0</v>
      </c>
      <c r="AI562" s="258">
        <f t="shared" si="156"/>
        <v>0</v>
      </c>
      <c r="AJ562" s="55">
        <f>SUMIFS('tuot-INFO'!W:W,'tuot-INFO'!$A:$A,'tuot-PVÄ'!B562)</f>
        <v>0</v>
      </c>
      <c r="AK562" s="55">
        <f>SUMIFS('tuot-INFO'!X:X,'tuot-INFO'!$A:$A,'tuot-PVÄ'!B562)</f>
        <v>0</v>
      </c>
    </row>
    <row r="563" spans="1:37" x14ac:dyDescent="0.25">
      <c r="A563" s="169">
        <f t="shared" si="154"/>
        <v>43049</v>
      </c>
      <c r="B563" s="23">
        <f>ROUNDUP((A563-Yleistiedot!$B$4)/7,0)</f>
        <v>97</v>
      </c>
      <c r="C563" s="16"/>
      <c r="D563" s="25"/>
      <c r="E563" s="25"/>
      <c r="F563" s="25"/>
      <c r="G563" s="25"/>
      <c r="H563" s="25"/>
      <c r="I563" s="65">
        <f t="shared" si="149"/>
        <v>0</v>
      </c>
      <c r="J563" s="26"/>
      <c r="K563" s="25"/>
      <c r="L563" s="16"/>
      <c r="M563" s="16"/>
      <c r="N563" s="25"/>
      <c r="O563" s="30"/>
      <c r="P563" s="252">
        <f t="shared" si="161"/>
        <v>9990</v>
      </c>
      <c r="Q563" s="253">
        <f t="shared" si="162"/>
        <v>0</v>
      </c>
      <c r="R563" s="253">
        <f t="shared" si="163"/>
        <v>0</v>
      </c>
      <c r="S563" s="251">
        <f>SUMIFS('tuot-rehukirjanpito'!D:D,'tuot-rehukirjanpito'!A:A,A563)</f>
        <v>0</v>
      </c>
      <c r="T563" s="254">
        <f t="shared" si="157"/>
        <v>1098.9000000000001</v>
      </c>
      <c r="U563" s="254">
        <f t="shared" si="158"/>
        <v>1098.8999999999999</v>
      </c>
      <c r="V563" s="252">
        <f t="shared" si="159"/>
        <v>-616482.90000000654</v>
      </c>
      <c r="W563" s="255">
        <f t="shared" si="160"/>
        <v>-561.00000000000591</v>
      </c>
      <c r="X563" s="256" t="str">
        <f t="shared" si="164"/>
        <v/>
      </c>
      <c r="Y563" s="256" t="str">
        <f t="shared" si="165"/>
        <v/>
      </c>
      <c r="Z563" s="224" t="str">
        <f>IF(IFERROR(INDEX('tuot-rehukirjanpito'!I:I,MATCH(A563,'tuot-rehukirjanpito'!G:G,0)),)=0,"",INDEX('tuot-rehukirjanpito'!I:I,MATCH(A563,'tuot-rehukirjanpito'!G:G,0)))</f>
        <v/>
      </c>
      <c r="AA563" s="224">
        <f>SUMIFS('tuot-INFO'!$K$10:$K$115,'tuot-INFO'!$A$10:$A$115,'tuot-PVÄ'!B563)</f>
        <v>0</v>
      </c>
      <c r="AB563" s="224">
        <f>SUMIFS('rehu-vesi-INFO'!$R:$R,'rehu-vesi-INFO'!$A:$A,'tuot-PVÄ'!B563)</f>
        <v>1746</v>
      </c>
      <c r="AC563" s="224">
        <f>SUMIFS('rehu-vesi-INFO'!$S:$S,'rehu-vesi-INFO'!$A:$A,'tuot-PVÄ'!B563)</f>
        <v>1853</v>
      </c>
      <c r="AD563" s="224">
        <f t="shared" si="150"/>
        <v>107</v>
      </c>
      <c r="AE563" s="224">
        <f t="shared" si="151"/>
        <v>0</v>
      </c>
      <c r="AF563" s="224">
        <f t="shared" si="152"/>
        <v>174.6</v>
      </c>
      <c r="AG563" s="224">
        <f t="shared" si="153"/>
        <v>10.7</v>
      </c>
      <c r="AH563" s="257">
        <f t="shared" si="155"/>
        <v>0</v>
      </c>
      <c r="AI563" s="258">
        <f t="shared" si="156"/>
        <v>0</v>
      </c>
      <c r="AJ563" s="55">
        <f>SUMIFS('tuot-INFO'!W:W,'tuot-INFO'!$A:$A,'tuot-PVÄ'!B563)</f>
        <v>0</v>
      </c>
      <c r="AK563" s="55">
        <f>SUMIFS('tuot-INFO'!X:X,'tuot-INFO'!$A:$A,'tuot-PVÄ'!B563)</f>
        <v>0</v>
      </c>
    </row>
    <row r="564" spans="1:37" x14ac:dyDescent="0.25">
      <c r="A564" s="169">
        <f t="shared" si="154"/>
        <v>43050</v>
      </c>
      <c r="B564" s="23">
        <f>ROUNDUP((A564-Yleistiedot!$B$4)/7,0)</f>
        <v>98</v>
      </c>
      <c r="C564" s="16"/>
      <c r="D564" s="25"/>
      <c r="E564" s="25"/>
      <c r="F564" s="25"/>
      <c r="G564" s="25"/>
      <c r="H564" s="25"/>
      <c r="I564" s="65">
        <f t="shared" si="149"/>
        <v>0</v>
      </c>
      <c r="J564" s="26"/>
      <c r="K564" s="25"/>
      <c r="L564" s="16"/>
      <c r="M564" s="16"/>
      <c r="N564" s="25"/>
      <c r="O564" s="30"/>
      <c r="P564" s="252">
        <f t="shared" si="161"/>
        <v>9990</v>
      </c>
      <c r="Q564" s="253">
        <f t="shared" si="162"/>
        <v>0</v>
      </c>
      <c r="R564" s="253">
        <f t="shared" si="163"/>
        <v>0</v>
      </c>
      <c r="S564" s="251">
        <f>SUMIFS('tuot-rehukirjanpito'!D:D,'tuot-rehukirjanpito'!A:A,A564)</f>
        <v>0</v>
      </c>
      <c r="T564" s="254">
        <f t="shared" si="157"/>
        <v>1098.9000000000001</v>
      </c>
      <c r="U564" s="254">
        <f t="shared" si="158"/>
        <v>1098.8999999999999</v>
      </c>
      <c r="V564" s="252">
        <f t="shared" si="159"/>
        <v>-617581.80000000657</v>
      </c>
      <c r="W564" s="255">
        <f t="shared" si="160"/>
        <v>-562.00000000000591</v>
      </c>
      <c r="X564" s="256" t="str">
        <f t="shared" si="164"/>
        <v/>
      </c>
      <c r="Y564" s="256" t="str">
        <f t="shared" si="165"/>
        <v/>
      </c>
      <c r="Z564" s="224" t="str">
        <f>IF(IFERROR(INDEX('tuot-rehukirjanpito'!I:I,MATCH(A564,'tuot-rehukirjanpito'!G:G,0)),)=0,"",INDEX('tuot-rehukirjanpito'!I:I,MATCH(A564,'tuot-rehukirjanpito'!G:G,0)))</f>
        <v/>
      </c>
      <c r="AA564" s="224">
        <f>SUMIFS('tuot-INFO'!$K$10:$K$115,'tuot-INFO'!$A$10:$A$115,'tuot-PVÄ'!B564)</f>
        <v>0</v>
      </c>
      <c r="AB564" s="224">
        <f>SUMIFS('rehu-vesi-INFO'!$R:$R,'rehu-vesi-INFO'!$A:$A,'tuot-PVÄ'!B564)</f>
        <v>1746</v>
      </c>
      <c r="AC564" s="224">
        <f>SUMIFS('rehu-vesi-INFO'!$S:$S,'rehu-vesi-INFO'!$A:$A,'tuot-PVÄ'!B564)</f>
        <v>1853</v>
      </c>
      <c r="AD564" s="224">
        <f t="shared" si="150"/>
        <v>107</v>
      </c>
      <c r="AE564" s="224">
        <f t="shared" si="151"/>
        <v>0</v>
      </c>
      <c r="AF564" s="224">
        <f t="shared" si="152"/>
        <v>174.6</v>
      </c>
      <c r="AG564" s="224">
        <f t="shared" si="153"/>
        <v>10.7</v>
      </c>
      <c r="AH564" s="257">
        <f t="shared" si="155"/>
        <v>0</v>
      </c>
      <c r="AI564" s="258">
        <f t="shared" si="156"/>
        <v>0</v>
      </c>
      <c r="AJ564" s="55">
        <f>SUMIFS('tuot-INFO'!W:W,'tuot-INFO'!$A:$A,'tuot-PVÄ'!B564)</f>
        <v>0</v>
      </c>
      <c r="AK564" s="55">
        <f>SUMIFS('tuot-INFO'!X:X,'tuot-INFO'!$A:$A,'tuot-PVÄ'!B564)</f>
        <v>0</v>
      </c>
    </row>
    <row r="565" spans="1:37" x14ac:dyDescent="0.25">
      <c r="A565" s="169">
        <f t="shared" si="154"/>
        <v>43051</v>
      </c>
      <c r="B565" s="23">
        <f>ROUNDUP((A565-Yleistiedot!$B$4)/7,0)</f>
        <v>98</v>
      </c>
      <c r="C565" s="16"/>
      <c r="D565" s="25"/>
      <c r="E565" s="25"/>
      <c r="F565" s="25"/>
      <c r="G565" s="25"/>
      <c r="H565" s="25"/>
      <c r="I565" s="65">
        <f t="shared" si="149"/>
        <v>0</v>
      </c>
      <c r="J565" s="26"/>
      <c r="K565" s="25"/>
      <c r="L565" s="16"/>
      <c r="M565" s="16"/>
      <c r="N565" s="25"/>
      <c r="O565" s="30"/>
      <c r="P565" s="252">
        <f t="shared" si="161"/>
        <v>9990</v>
      </c>
      <c r="Q565" s="253">
        <f t="shared" si="162"/>
        <v>0</v>
      </c>
      <c r="R565" s="253">
        <f t="shared" si="163"/>
        <v>0</v>
      </c>
      <c r="S565" s="251">
        <f>SUMIFS('tuot-rehukirjanpito'!D:D,'tuot-rehukirjanpito'!A:A,A565)</f>
        <v>0</v>
      </c>
      <c r="T565" s="254">
        <f t="shared" si="157"/>
        <v>1098.9000000000001</v>
      </c>
      <c r="U565" s="254">
        <f t="shared" si="158"/>
        <v>1098.8999999999999</v>
      </c>
      <c r="V565" s="252">
        <f t="shared" si="159"/>
        <v>-618680.70000000659</v>
      </c>
      <c r="W565" s="255">
        <f t="shared" si="160"/>
        <v>-563.00000000000591</v>
      </c>
      <c r="X565" s="256" t="str">
        <f t="shared" si="164"/>
        <v/>
      </c>
      <c r="Y565" s="256" t="str">
        <f t="shared" si="165"/>
        <v/>
      </c>
      <c r="Z565" s="224" t="str">
        <f>IF(IFERROR(INDEX('tuot-rehukirjanpito'!I:I,MATCH(A565,'tuot-rehukirjanpito'!G:G,0)),)=0,"",INDEX('tuot-rehukirjanpito'!I:I,MATCH(A565,'tuot-rehukirjanpito'!G:G,0)))</f>
        <v/>
      </c>
      <c r="AA565" s="224">
        <f>SUMIFS('tuot-INFO'!$K$10:$K$115,'tuot-INFO'!$A$10:$A$115,'tuot-PVÄ'!B565)</f>
        <v>0</v>
      </c>
      <c r="AB565" s="224">
        <f>SUMIFS('rehu-vesi-INFO'!$R:$R,'rehu-vesi-INFO'!$A:$A,'tuot-PVÄ'!B565)</f>
        <v>1746</v>
      </c>
      <c r="AC565" s="224">
        <f>SUMIFS('rehu-vesi-INFO'!$S:$S,'rehu-vesi-INFO'!$A:$A,'tuot-PVÄ'!B565)</f>
        <v>1853</v>
      </c>
      <c r="AD565" s="224">
        <f t="shared" si="150"/>
        <v>107</v>
      </c>
      <c r="AE565" s="224">
        <f t="shared" si="151"/>
        <v>0</v>
      </c>
      <c r="AF565" s="224">
        <f t="shared" si="152"/>
        <v>174.6</v>
      </c>
      <c r="AG565" s="224">
        <f t="shared" si="153"/>
        <v>10.7</v>
      </c>
      <c r="AH565" s="257">
        <f t="shared" si="155"/>
        <v>0</v>
      </c>
      <c r="AI565" s="258">
        <f t="shared" si="156"/>
        <v>0</v>
      </c>
      <c r="AJ565" s="55">
        <f>SUMIFS('tuot-INFO'!W:W,'tuot-INFO'!$A:$A,'tuot-PVÄ'!B565)</f>
        <v>0</v>
      </c>
      <c r="AK565" s="55">
        <f>SUMIFS('tuot-INFO'!X:X,'tuot-INFO'!$A:$A,'tuot-PVÄ'!B565)</f>
        <v>0</v>
      </c>
    </row>
    <row r="566" spans="1:37" x14ac:dyDescent="0.25">
      <c r="A566" s="169">
        <f t="shared" si="154"/>
        <v>43052</v>
      </c>
      <c r="B566" s="23">
        <f>ROUNDUP((A566-Yleistiedot!$B$4)/7,0)</f>
        <v>98</v>
      </c>
      <c r="C566" s="16"/>
      <c r="D566" s="25"/>
      <c r="E566" s="25"/>
      <c r="F566" s="25"/>
      <c r="G566" s="25"/>
      <c r="H566" s="25"/>
      <c r="I566" s="65">
        <f t="shared" si="149"/>
        <v>0</v>
      </c>
      <c r="J566" s="26"/>
      <c r="K566" s="25"/>
      <c r="L566" s="16"/>
      <c r="M566" s="16"/>
      <c r="N566" s="25"/>
      <c r="O566" s="30"/>
      <c r="P566" s="252">
        <f t="shared" si="161"/>
        <v>9990</v>
      </c>
      <c r="Q566" s="253">
        <f t="shared" si="162"/>
        <v>0</v>
      </c>
      <c r="R566" s="253">
        <f t="shared" si="163"/>
        <v>0</v>
      </c>
      <c r="S566" s="251">
        <f>SUMIFS('tuot-rehukirjanpito'!D:D,'tuot-rehukirjanpito'!A:A,A566)</f>
        <v>0</v>
      </c>
      <c r="T566" s="254">
        <f t="shared" si="157"/>
        <v>1098.9000000000001</v>
      </c>
      <c r="U566" s="254">
        <f t="shared" si="158"/>
        <v>1098.8999999999999</v>
      </c>
      <c r="V566" s="252">
        <f t="shared" si="159"/>
        <v>-619779.60000000661</v>
      </c>
      <c r="W566" s="255">
        <f t="shared" si="160"/>
        <v>-564.00000000000603</v>
      </c>
      <c r="X566" s="256" t="str">
        <f t="shared" si="164"/>
        <v/>
      </c>
      <c r="Y566" s="256" t="str">
        <f t="shared" si="165"/>
        <v/>
      </c>
      <c r="Z566" s="224" t="str">
        <f>IF(IFERROR(INDEX('tuot-rehukirjanpito'!I:I,MATCH(A566,'tuot-rehukirjanpito'!G:G,0)),)=0,"",INDEX('tuot-rehukirjanpito'!I:I,MATCH(A566,'tuot-rehukirjanpito'!G:G,0)))</f>
        <v/>
      </c>
      <c r="AA566" s="224">
        <f>SUMIFS('tuot-INFO'!$K$10:$K$115,'tuot-INFO'!$A$10:$A$115,'tuot-PVÄ'!B566)</f>
        <v>0</v>
      </c>
      <c r="AB566" s="224">
        <f>SUMIFS('rehu-vesi-INFO'!$R:$R,'rehu-vesi-INFO'!$A:$A,'tuot-PVÄ'!B566)</f>
        <v>1746</v>
      </c>
      <c r="AC566" s="224">
        <f>SUMIFS('rehu-vesi-INFO'!$S:$S,'rehu-vesi-INFO'!$A:$A,'tuot-PVÄ'!B566)</f>
        <v>1853</v>
      </c>
      <c r="AD566" s="224">
        <f t="shared" si="150"/>
        <v>107</v>
      </c>
      <c r="AE566" s="224">
        <f t="shared" si="151"/>
        <v>0</v>
      </c>
      <c r="AF566" s="224">
        <f t="shared" si="152"/>
        <v>174.6</v>
      </c>
      <c r="AG566" s="224">
        <f t="shared" si="153"/>
        <v>10.7</v>
      </c>
      <c r="AH566" s="257">
        <f t="shared" si="155"/>
        <v>0</v>
      </c>
      <c r="AI566" s="258">
        <f t="shared" si="156"/>
        <v>0</v>
      </c>
      <c r="AJ566" s="55">
        <f>SUMIFS('tuot-INFO'!W:W,'tuot-INFO'!$A:$A,'tuot-PVÄ'!B566)</f>
        <v>0</v>
      </c>
      <c r="AK566" s="55">
        <f>SUMIFS('tuot-INFO'!X:X,'tuot-INFO'!$A:$A,'tuot-PVÄ'!B566)</f>
        <v>0</v>
      </c>
    </row>
    <row r="567" spans="1:37" x14ac:dyDescent="0.25">
      <c r="A567" s="169">
        <f t="shared" si="154"/>
        <v>43053</v>
      </c>
      <c r="B567" s="23">
        <f>ROUNDUP((A567-Yleistiedot!$B$4)/7,0)</f>
        <v>98</v>
      </c>
      <c r="C567" s="16"/>
      <c r="D567" s="25"/>
      <c r="E567" s="25"/>
      <c r="F567" s="25"/>
      <c r="G567" s="25"/>
      <c r="H567" s="25"/>
      <c r="I567" s="65">
        <f t="shared" si="149"/>
        <v>0</v>
      </c>
      <c r="J567" s="26"/>
      <c r="K567" s="25"/>
      <c r="L567" s="16"/>
      <c r="M567" s="16"/>
      <c r="N567" s="25"/>
      <c r="O567" s="30"/>
      <c r="P567" s="252">
        <f t="shared" si="161"/>
        <v>9990</v>
      </c>
      <c r="Q567" s="253">
        <f t="shared" si="162"/>
        <v>0</v>
      </c>
      <c r="R567" s="253">
        <f t="shared" si="163"/>
        <v>0</v>
      </c>
      <c r="S567" s="251">
        <f>SUMIFS('tuot-rehukirjanpito'!D:D,'tuot-rehukirjanpito'!A:A,A567)</f>
        <v>0</v>
      </c>
      <c r="T567" s="254">
        <f t="shared" si="157"/>
        <v>1098.9000000000001</v>
      </c>
      <c r="U567" s="254">
        <f t="shared" si="158"/>
        <v>1098.8999999999999</v>
      </c>
      <c r="V567" s="252">
        <f t="shared" si="159"/>
        <v>-620878.50000000664</v>
      </c>
      <c r="W567" s="255">
        <f t="shared" si="160"/>
        <v>-565.00000000000603</v>
      </c>
      <c r="X567" s="256" t="str">
        <f t="shared" si="164"/>
        <v/>
      </c>
      <c r="Y567" s="256" t="str">
        <f t="shared" si="165"/>
        <v/>
      </c>
      <c r="Z567" s="224" t="str">
        <f>IF(IFERROR(INDEX('tuot-rehukirjanpito'!I:I,MATCH(A567,'tuot-rehukirjanpito'!G:G,0)),)=0,"",INDEX('tuot-rehukirjanpito'!I:I,MATCH(A567,'tuot-rehukirjanpito'!G:G,0)))</f>
        <v/>
      </c>
      <c r="AA567" s="224">
        <f>SUMIFS('tuot-INFO'!$K$10:$K$115,'tuot-INFO'!$A$10:$A$115,'tuot-PVÄ'!B567)</f>
        <v>0</v>
      </c>
      <c r="AB567" s="224">
        <f>SUMIFS('rehu-vesi-INFO'!$R:$R,'rehu-vesi-INFO'!$A:$A,'tuot-PVÄ'!B567)</f>
        <v>1746</v>
      </c>
      <c r="AC567" s="224">
        <f>SUMIFS('rehu-vesi-INFO'!$S:$S,'rehu-vesi-INFO'!$A:$A,'tuot-PVÄ'!B567)</f>
        <v>1853</v>
      </c>
      <c r="AD567" s="224">
        <f t="shared" si="150"/>
        <v>107</v>
      </c>
      <c r="AE567" s="224">
        <f t="shared" si="151"/>
        <v>0</v>
      </c>
      <c r="AF567" s="224">
        <f t="shared" si="152"/>
        <v>174.6</v>
      </c>
      <c r="AG567" s="224">
        <f t="shared" si="153"/>
        <v>10.7</v>
      </c>
      <c r="AH567" s="257">
        <f t="shared" si="155"/>
        <v>0</v>
      </c>
      <c r="AI567" s="258">
        <f t="shared" si="156"/>
        <v>0</v>
      </c>
      <c r="AJ567" s="55">
        <f>SUMIFS('tuot-INFO'!W:W,'tuot-INFO'!$A:$A,'tuot-PVÄ'!B567)</f>
        <v>0</v>
      </c>
      <c r="AK567" s="55">
        <f>SUMIFS('tuot-INFO'!X:X,'tuot-INFO'!$A:$A,'tuot-PVÄ'!B567)</f>
        <v>0</v>
      </c>
    </row>
    <row r="568" spans="1:37" x14ac:dyDescent="0.25">
      <c r="A568" s="169">
        <f t="shared" si="154"/>
        <v>43054</v>
      </c>
      <c r="B568" s="23">
        <f>ROUNDUP((A568-Yleistiedot!$B$4)/7,0)</f>
        <v>98</v>
      </c>
      <c r="C568" s="16"/>
      <c r="D568" s="25"/>
      <c r="E568" s="25"/>
      <c r="F568" s="25"/>
      <c r="G568" s="25"/>
      <c r="H568" s="25"/>
      <c r="I568" s="65">
        <f t="shared" si="149"/>
        <v>0</v>
      </c>
      <c r="J568" s="26"/>
      <c r="K568" s="25"/>
      <c r="L568" s="16"/>
      <c r="M568" s="16"/>
      <c r="N568" s="25"/>
      <c r="O568" s="30"/>
      <c r="P568" s="252">
        <f t="shared" si="161"/>
        <v>9990</v>
      </c>
      <c r="Q568" s="253">
        <f t="shared" si="162"/>
        <v>0</v>
      </c>
      <c r="R568" s="253">
        <f t="shared" si="163"/>
        <v>0</v>
      </c>
      <c r="S568" s="251">
        <f>SUMIFS('tuot-rehukirjanpito'!D:D,'tuot-rehukirjanpito'!A:A,A568)</f>
        <v>0</v>
      </c>
      <c r="T568" s="254">
        <f t="shared" si="157"/>
        <v>1098.9000000000001</v>
      </c>
      <c r="U568" s="254">
        <f t="shared" si="158"/>
        <v>1098.8999999999999</v>
      </c>
      <c r="V568" s="252">
        <f t="shared" si="159"/>
        <v>-621977.40000000666</v>
      </c>
      <c r="W568" s="255">
        <f t="shared" si="160"/>
        <v>-566.00000000000603</v>
      </c>
      <c r="X568" s="256" t="str">
        <f t="shared" si="164"/>
        <v/>
      </c>
      <c r="Y568" s="256" t="str">
        <f t="shared" si="165"/>
        <v/>
      </c>
      <c r="Z568" s="224" t="str">
        <f>IF(IFERROR(INDEX('tuot-rehukirjanpito'!I:I,MATCH(A568,'tuot-rehukirjanpito'!G:G,0)),)=0,"",INDEX('tuot-rehukirjanpito'!I:I,MATCH(A568,'tuot-rehukirjanpito'!G:G,0)))</f>
        <v/>
      </c>
      <c r="AA568" s="224">
        <f>SUMIFS('tuot-INFO'!$K$10:$K$115,'tuot-INFO'!$A$10:$A$115,'tuot-PVÄ'!B568)</f>
        <v>0</v>
      </c>
      <c r="AB568" s="224">
        <f>SUMIFS('rehu-vesi-INFO'!$R:$R,'rehu-vesi-INFO'!$A:$A,'tuot-PVÄ'!B568)</f>
        <v>1746</v>
      </c>
      <c r="AC568" s="224">
        <f>SUMIFS('rehu-vesi-INFO'!$S:$S,'rehu-vesi-INFO'!$A:$A,'tuot-PVÄ'!B568)</f>
        <v>1853</v>
      </c>
      <c r="AD568" s="224">
        <f t="shared" si="150"/>
        <v>107</v>
      </c>
      <c r="AE568" s="224">
        <f t="shared" si="151"/>
        <v>0</v>
      </c>
      <c r="AF568" s="224">
        <f t="shared" si="152"/>
        <v>174.6</v>
      </c>
      <c r="AG568" s="224">
        <f t="shared" si="153"/>
        <v>10.7</v>
      </c>
      <c r="AH568" s="257">
        <f t="shared" si="155"/>
        <v>0</v>
      </c>
      <c r="AI568" s="258">
        <f t="shared" si="156"/>
        <v>0</v>
      </c>
      <c r="AJ568" s="55">
        <f>SUMIFS('tuot-INFO'!W:W,'tuot-INFO'!$A:$A,'tuot-PVÄ'!B568)</f>
        <v>0</v>
      </c>
      <c r="AK568" s="55">
        <f>SUMIFS('tuot-INFO'!X:X,'tuot-INFO'!$A:$A,'tuot-PVÄ'!B568)</f>
        <v>0</v>
      </c>
    </row>
    <row r="569" spans="1:37" x14ac:dyDescent="0.25">
      <c r="A569" s="169">
        <f t="shared" si="154"/>
        <v>43055</v>
      </c>
      <c r="B569" s="23">
        <f>ROUNDUP((A569-Yleistiedot!$B$4)/7,0)</f>
        <v>98</v>
      </c>
      <c r="C569" s="16"/>
      <c r="D569" s="25"/>
      <c r="E569" s="25"/>
      <c r="F569" s="25"/>
      <c r="G569" s="25"/>
      <c r="H569" s="25"/>
      <c r="I569" s="65">
        <f t="shared" si="149"/>
        <v>0</v>
      </c>
      <c r="J569" s="26"/>
      <c r="K569" s="25"/>
      <c r="L569" s="16"/>
      <c r="M569" s="16"/>
      <c r="N569" s="25"/>
      <c r="O569" s="30"/>
      <c r="P569" s="252">
        <f t="shared" si="161"/>
        <v>9990</v>
      </c>
      <c r="Q569" s="253">
        <f t="shared" si="162"/>
        <v>0</v>
      </c>
      <c r="R569" s="253">
        <f t="shared" si="163"/>
        <v>0</v>
      </c>
      <c r="S569" s="251">
        <f>SUMIFS('tuot-rehukirjanpito'!D:D,'tuot-rehukirjanpito'!A:A,A569)</f>
        <v>0</v>
      </c>
      <c r="T569" s="254">
        <f t="shared" si="157"/>
        <v>1098.9000000000001</v>
      </c>
      <c r="U569" s="254">
        <f t="shared" si="158"/>
        <v>1098.8999999999999</v>
      </c>
      <c r="V569" s="252">
        <f t="shared" si="159"/>
        <v>-623076.30000000668</v>
      </c>
      <c r="W569" s="255">
        <f t="shared" si="160"/>
        <v>-567.00000000000603</v>
      </c>
      <c r="X569" s="256" t="str">
        <f t="shared" si="164"/>
        <v/>
      </c>
      <c r="Y569" s="256" t="str">
        <f t="shared" si="165"/>
        <v/>
      </c>
      <c r="Z569" s="224" t="str">
        <f>IF(IFERROR(INDEX('tuot-rehukirjanpito'!I:I,MATCH(A569,'tuot-rehukirjanpito'!G:G,0)),)=0,"",INDEX('tuot-rehukirjanpito'!I:I,MATCH(A569,'tuot-rehukirjanpito'!G:G,0)))</f>
        <v/>
      </c>
      <c r="AA569" s="224">
        <f>SUMIFS('tuot-INFO'!$K$10:$K$115,'tuot-INFO'!$A$10:$A$115,'tuot-PVÄ'!B569)</f>
        <v>0</v>
      </c>
      <c r="AB569" s="224">
        <f>SUMIFS('rehu-vesi-INFO'!$R:$R,'rehu-vesi-INFO'!$A:$A,'tuot-PVÄ'!B569)</f>
        <v>1746</v>
      </c>
      <c r="AC569" s="224">
        <f>SUMIFS('rehu-vesi-INFO'!$S:$S,'rehu-vesi-INFO'!$A:$A,'tuot-PVÄ'!B569)</f>
        <v>1853</v>
      </c>
      <c r="AD569" s="224">
        <f t="shared" si="150"/>
        <v>107</v>
      </c>
      <c r="AE569" s="224">
        <f t="shared" si="151"/>
        <v>0</v>
      </c>
      <c r="AF569" s="224">
        <f t="shared" si="152"/>
        <v>174.6</v>
      </c>
      <c r="AG569" s="224">
        <f t="shared" si="153"/>
        <v>10.7</v>
      </c>
      <c r="AH569" s="257">
        <f t="shared" si="155"/>
        <v>0</v>
      </c>
      <c r="AI569" s="258">
        <f t="shared" si="156"/>
        <v>0</v>
      </c>
      <c r="AJ569" s="55">
        <f>SUMIFS('tuot-INFO'!W:W,'tuot-INFO'!$A:$A,'tuot-PVÄ'!B569)</f>
        <v>0</v>
      </c>
      <c r="AK569" s="55">
        <f>SUMIFS('tuot-INFO'!X:X,'tuot-INFO'!$A:$A,'tuot-PVÄ'!B569)</f>
        <v>0</v>
      </c>
    </row>
    <row r="570" spans="1:37" x14ac:dyDescent="0.25">
      <c r="A570" s="169">
        <f t="shared" si="154"/>
        <v>43056</v>
      </c>
      <c r="B570" s="23">
        <f>ROUNDUP((A570-Yleistiedot!$B$4)/7,0)</f>
        <v>98</v>
      </c>
      <c r="C570" s="16"/>
      <c r="D570" s="25"/>
      <c r="E570" s="25"/>
      <c r="F570" s="25"/>
      <c r="G570" s="25"/>
      <c r="H570" s="25"/>
      <c r="I570" s="65">
        <f t="shared" si="149"/>
        <v>0</v>
      </c>
      <c r="J570" s="26"/>
      <c r="K570" s="25"/>
      <c r="L570" s="16"/>
      <c r="M570" s="16"/>
      <c r="N570" s="25"/>
      <c r="O570" s="30"/>
      <c r="P570" s="252">
        <f t="shared" si="161"/>
        <v>9990</v>
      </c>
      <c r="Q570" s="253">
        <f t="shared" si="162"/>
        <v>0</v>
      </c>
      <c r="R570" s="253">
        <f t="shared" si="163"/>
        <v>0</v>
      </c>
      <c r="S570" s="251">
        <f>SUMIFS('tuot-rehukirjanpito'!D:D,'tuot-rehukirjanpito'!A:A,A570)</f>
        <v>0</v>
      </c>
      <c r="T570" s="254">
        <f t="shared" si="157"/>
        <v>1098.9000000000001</v>
      </c>
      <c r="U570" s="254">
        <f t="shared" si="158"/>
        <v>1098.8999999999999</v>
      </c>
      <c r="V570" s="252">
        <f t="shared" si="159"/>
        <v>-624175.20000000671</v>
      </c>
      <c r="W570" s="255">
        <f t="shared" si="160"/>
        <v>-568.00000000000603</v>
      </c>
      <c r="X570" s="256" t="str">
        <f t="shared" si="164"/>
        <v/>
      </c>
      <c r="Y570" s="256" t="str">
        <f t="shared" si="165"/>
        <v/>
      </c>
      <c r="Z570" s="224" t="str">
        <f>IF(IFERROR(INDEX('tuot-rehukirjanpito'!I:I,MATCH(A570,'tuot-rehukirjanpito'!G:G,0)),)=0,"",INDEX('tuot-rehukirjanpito'!I:I,MATCH(A570,'tuot-rehukirjanpito'!G:G,0)))</f>
        <v/>
      </c>
      <c r="AA570" s="224">
        <f>SUMIFS('tuot-INFO'!$K$10:$K$115,'tuot-INFO'!$A$10:$A$115,'tuot-PVÄ'!B570)</f>
        <v>0</v>
      </c>
      <c r="AB570" s="224">
        <f>SUMIFS('rehu-vesi-INFO'!$R:$R,'rehu-vesi-INFO'!$A:$A,'tuot-PVÄ'!B570)</f>
        <v>1746</v>
      </c>
      <c r="AC570" s="224">
        <f>SUMIFS('rehu-vesi-INFO'!$S:$S,'rehu-vesi-INFO'!$A:$A,'tuot-PVÄ'!B570)</f>
        <v>1853</v>
      </c>
      <c r="AD570" s="224">
        <f t="shared" si="150"/>
        <v>107</v>
      </c>
      <c r="AE570" s="224">
        <f t="shared" si="151"/>
        <v>0</v>
      </c>
      <c r="AF570" s="224">
        <f t="shared" si="152"/>
        <v>174.6</v>
      </c>
      <c r="AG570" s="224">
        <f t="shared" si="153"/>
        <v>10.7</v>
      </c>
      <c r="AH570" s="257">
        <f t="shared" si="155"/>
        <v>0</v>
      </c>
      <c r="AI570" s="258">
        <f t="shared" si="156"/>
        <v>0</v>
      </c>
      <c r="AJ570" s="55">
        <f>SUMIFS('tuot-INFO'!W:W,'tuot-INFO'!$A:$A,'tuot-PVÄ'!B570)</f>
        <v>0</v>
      </c>
      <c r="AK570" s="55">
        <f>SUMIFS('tuot-INFO'!X:X,'tuot-INFO'!$A:$A,'tuot-PVÄ'!B570)</f>
        <v>0</v>
      </c>
    </row>
    <row r="571" spans="1:37" x14ac:dyDescent="0.25">
      <c r="A571" s="169">
        <f t="shared" si="154"/>
        <v>43057</v>
      </c>
      <c r="B571" s="23">
        <f>ROUNDUP((A571-Yleistiedot!$B$4)/7,0)</f>
        <v>99</v>
      </c>
      <c r="C571" s="16"/>
      <c r="D571" s="25"/>
      <c r="E571" s="25"/>
      <c r="F571" s="25"/>
      <c r="G571" s="25"/>
      <c r="H571" s="25"/>
      <c r="I571" s="65">
        <f t="shared" si="149"/>
        <v>0</v>
      </c>
      <c r="J571" s="26"/>
      <c r="K571" s="25"/>
      <c r="L571" s="16"/>
      <c r="M571" s="16"/>
      <c r="N571" s="25"/>
      <c r="O571" s="30"/>
      <c r="P571" s="252">
        <f t="shared" si="161"/>
        <v>9990</v>
      </c>
      <c r="Q571" s="253">
        <f t="shared" si="162"/>
        <v>0</v>
      </c>
      <c r="R571" s="253">
        <f t="shared" si="163"/>
        <v>0</v>
      </c>
      <c r="S571" s="251">
        <f>SUMIFS('tuot-rehukirjanpito'!D:D,'tuot-rehukirjanpito'!A:A,A571)</f>
        <v>0</v>
      </c>
      <c r="T571" s="254">
        <f t="shared" si="157"/>
        <v>1098.9000000000001</v>
      </c>
      <c r="U571" s="254">
        <f t="shared" si="158"/>
        <v>1098.8999999999999</v>
      </c>
      <c r="V571" s="252">
        <f t="shared" si="159"/>
        <v>-625274.10000000673</v>
      </c>
      <c r="W571" s="255">
        <f t="shared" si="160"/>
        <v>-569.00000000000603</v>
      </c>
      <c r="X571" s="256" t="str">
        <f t="shared" si="164"/>
        <v/>
      </c>
      <c r="Y571" s="256" t="str">
        <f t="shared" si="165"/>
        <v/>
      </c>
      <c r="Z571" s="224" t="str">
        <f>IF(IFERROR(INDEX('tuot-rehukirjanpito'!I:I,MATCH(A571,'tuot-rehukirjanpito'!G:G,0)),)=0,"",INDEX('tuot-rehukirjanpito'!I:I,MATCH(A571,'tuot-rehukirjanpito'!G:G,0)))</f>
        <v/>
      </c>
      <c r="AA571" s="224">
        <f>SUMIFS('tuot-INFO'!$K$10:$K$115,'tuot-INFO'!$A$10:$A$115,'tuot-PVÄ'!B571)</f>
        <v>0</v>
      </c>
      <c r="AB571" s="224">
        <f>SUMIFS('rehu-vesi-INFO'!$R:$R,'rehu-vesi-INFO'!$A:$A,'tuot-PVÄ'!B571)</f>
        <v>1746</v>
      </c>
      <c r="AC571" s="224">
        <f>SUMIFS('rehu-vesi-INFO'!$S:$S,'rehu-vesi-INFO'!$A:$A,'tuot-PVÄ'!B571)</f>
        <v>1853</v>
      </c>
      <c r="AD571" s="224">
        <f t="shared" si="150"/>
        <v>107</v>
      </c>
      <c r="AE571" s="224">
        <f t="shared" si="151"/>
        <v>0</v>
      </c>
      <c r="AF571" s="224">
        <f t="shared" si="152"/>
        <v>174.6</v>
      </c>
      <c r="AG571" s="224">
        <f t="shared" si="153"/>
        <v>10.7</v>
      </c>
      <c r="AH571" s="257">
        <f t="shared" si="155"/>
        <v>0</v>
      </c>
      <c r="AI571" s="258">
        <f t="shared" si="156"/>
        <v>0</v>
      </c>
      <c r="AJ571" s="55">
        <f>SUMIFS('tuot-INFO'!W:W,'tuot-INFO'!$A:$A,'tuot-PVÄ'!B571)</f>
        <v>0</v>
      </c>
      <c r="AK571" s="55">
        <f>SUMIFS('tuot-INFO'!X:X,'tuot-INFO'!$A:$A,'tuot-PVÄ'!B571)</f>
        <v>0</v>
      </c>
    </row>
    <row r="572" spans="1:37" x14ac:dyDescent="0.25">
      <c r="A572" s="169">
        <f t="shared" si="154"/>
        <v>43058</v>
      </c>
      <c r="B572" s="23">
        <f>ROUNDUP((A572-Yleistiedot!$B$4)/7,0)</f>
        <v>99</v>
      </c>
      <c r="C572" s="16"/>
      <c r="D572" s="25"/>
      <c r="E572" s="25"/>
      <c r="F572" s="25"/>
      <c r="G572" s="25"/>
      <c r="H572" s="25"/>
      <c r="I572" s="65">
        <f t="shared" si="149"/>
        <v>0</v>
      </c>
      <c r="J572" s="26"/>
      <c r="K572" s="25"/>
      <c r="L572" s="16"/>
      <c r="M572" s="16"/>
      <c r="N572" s="25"/>
      <c r="O572" s="30"/>
      <c r="P572" s="252">
        <f t="shared" si="161"/>
        <v>9990</v>
      </c>
      <c r="Q572" s="253">
        <f t="shared" si="162"/>
        <v>0</v>
      </c>
      <c r="R572" s="253">
        <f t="shared" si="163"/>
        <v>0</v>
      </c>
      <c r="S572" s="251">
        <f>SUMIFS('tuot-rehukirjanpito'!D:D,'tuot-rehukirjanpito'!A:A,A572)</f>
        <v>0</v>
      </c>
      <c r="T572" s="254">
        <f t="shared" si="157"/>
        <v>1098.9000000000001</v>
      </c>
      <c r="U572" s="254">
        <f t="shared" si="158"/>
        <v>1098.8999999999999</v>
      </c>
      <c r="V572" s="252">
        <f t="shared" si="159"/>
        <v>-626373.00000000675</v>
      </c>
      <c r="W572" s="255">
        <f t="shared" si="160"/>
        <v>-570.00000000000614</v>
      </c>
      <c r="X572" s="256" t="str">
        <f t="shared" si="164"/>
        <v/>
      </c>
      <c r="Y572" s="256" t="str">
        <f t="shared" si="165"/>
        <v/>
      </c>
      <c r="Z572" s="224" t="str">
        <f>IF(IFERROR(INDEX('tuot-rehukirjanpito'!I:I,MATCH(A572,'tuot-rehukirjanpito'!G:G,0)),)=0,"",INDEX('tuot-rehukirjanpito'!I:I,MATCH(A572,'tuot-rehukirjanpito'!G:G,0)))</f>
        <v/>
      </c>
      <c r="AA572" s="224">
        <f>SUMIFS('tuot-INFO'!$K$10:$K$115,'tuot-INFO'!$A$10:$A$115,'tuot-PVÄ'!B572)</f>
        <v>0</v>
      </c>
      <c r="AB572" s="224">
        <f>SUMIFS('rehu-vesi-INFO'!$R:$R,'rehu-vesi-INFO'!$A:$A,'tuot-PVÄ'!B572)</f>
        <v>1746</v>
      </c>
      <c r="AC572" s="224">
        <f>SUMIFS('rehu-vesi-INFO'!$S:$S,'rehu-vesi-INFO'!$A:$A,'tuot-PVÄ'!B572)</f>
        <v>1853</v>
      </c>
      <c r="AD572" s="224">
        <f t="shared" si="150"/>
        <v>107</v>
      </c>
      <c r="AE572" s="224">
        <f t="shared" si="151"/>
        <v>0</v>
      </c>
      <c r="AF572" s="224">
        <f t="shared" si="152"/>
        <v>174.6</v>
      </c>
      <c r="AG572" s="224">
        <f t="shared" si="153"/>
        <v>10.7</v>
      </c>
      <c r="AH572" s="257">
        <f t="shared" si="155"/>
        <v>0</v>
      </c>
      <c r="AI572" s="258">
        <f t="shared" si="156"/>
        <v>0</v>
      </c>
      <c r="AJ572" s="55">
        <f>SUMIFS('tuot-INFO'!W:W,'tuot-INFO'!$A:$A,'tuot-PVÄ'!B572)</f>
        <v>0</v>
      </c>
      <c r="AK572" s="55">
        <f>SUMIFS('tuot-INFO'!X:X,'tuot-INFO'!$A:$A,'tuot-PVÄ'!B572)</f>
        <v>0</v>
      </c>
    </row>
    <row r="573" spans="1:37" x14ac:dyDescent="0.25">
      <c r="A573" s="169">
        <f t="shared" si="154"/>
        <v>43059</v>
      </c>
      <c r="B573" s="23">
        <f>ROUNDUP((A573-Yleistiedot!$B$4)/7,0)</f>
        <v>99</v>
      </c>
      <c r="C573" s="16"/>
      <c r="D573" s="25"/>
      <c r="E573" s="25"/>
      <c r="F573" s="25"/>
      <c r="G573" s="25"/>
      <c r="H573" s="25"/>
      <c r="I573" s="65">
        <f t="shared" si="149"/>
        <v>0</v>
      </c>
      <c r="J573" s="26"/>
      <c r="K573" s="25"/>
      <c r="L573" s="16"/>
      <c r="M573" s="16"/>
      <c r="N573" s="25"/>
      <c r="O573" s="30"/>
      <c r="P573" s="252">
        <f t="shared" si="161"/>
        <v>9990</v>
      </c>
      <c r="Q573" s="253">
        <f t="shared" si="162"/>
        <v>0</v>
      </c>
      <c r="R573" s="253">
        <f t="shared" si="163"/>
        <v>0</v>
      </c>
      <c r="S573" s="251">
        <f>SUMIFS('tuot-rehukirjanpito'!D:D,'tuot-rehukirjanpito'!A:A,A573)</f>
        <v>0</v>
      </c>
      <c r="T573" s="254">
        <f t="shared" si="157"/>
        <v>1098.9000000000001</v>
      </c>
      <c r="U573" s="254">
        <f t="shared" si="158"/>
        <v>1098.8999999999999</v>
      </c>
      <c r="V573" s="252">
        <f t="shared" si="159"/>
        <v>-627471.90000000678</v>
      </c>
      <c r="W573" s="255">
        <f t="shared" si="160"/>
        <v>-571.00000000000614</v>
      </c>
      <c r="X573" s="256" t="str">
        <f t="shared" si="164"/>
        <v/>
      </c>
      <c r="Y573" s="256" t="str">
        <f t="shared" si="165"/>
        <v/>
      </c>
      <c r="Z573" s="224" t="str">
        <f>IF(IFERROR(INDEX('tuot-rehukirjanpito'!I:I,MATCH(A573,'tuot-rehukirjanpito'!G:G,0)),)=0,"",INDEX('tuot-rehukirjanpito'!I:I,MATCH(A573,'tuot-rehukirjanpito'!G:G,0)))</f>
        <v/>
      </c>
      <c r="AA573" s="224">
        <f>SUMIFS('tuot-INFO'!$K$10:$K$115,'tuot-INFO'!$A$10:$A$115,'tuot-PVÄ'!B573)</f>
        <v>0</v>
      </c>
      <c r="AB573" s="224">
        <f>SUMIFS('rehu-vesi-INFO'!$R:$R,'rehu-vesi-INFO'!$A:$A,'tuot-PVÄ'!B573)</f>
        <v>1746</v>
      </c>
      <c r="AC573" s="224">
        <f>SUMIFS('rehu-vesi-INFO'!$S:$S,'rehu-vesi-INFO'!$A:$A,'tuot-PVÄ'!B573)</f>
        <v>1853</v>
      </c>
      <c r="AD573" s="224">
        <f t="shared" si="150"/>
        <v>107</v>
      </c>
      <c r="AE573" s="224">
        <f t="shared" si="151"/>
        <v>0</v>
      </c>
      <c r="AF573" s="224">
        <f t="shared" si="152"/>
        <v>174.6</v>
      </c>
      <c r="AG573" s="224">
        <f t="shared" si="153"/>
        <v>10.7</v>
      </c>
      <c r="AH573" s="257">
        <f t="shared" si="155"/>
        <v>0</v>
      </c>
      <c r="AI573" s="258">
        <f t="shared" si="156"/>
        <v>0</v>
      </c>
      <c r="AJ573" s="55">
        <f>SUMIFS('tuot-INFO'!W:W,'tuot-INFO'!$A:$A,'tuot-PVÄ'!B573)</f>
        <v>0</v>
      </c>
      <c r="AK573" s="55">
        <f>SUMIFS('tuot-INFO'!X:X,'tuot-INFO'!$A:$A,'tuot-PVÄ'!B573)</f>
        <v>0</v>
      </c>
    </row>
    <row r="574" spans="1:37" x14ac:dyDescent="0.25">
      <c r="A574" s="169">
        <f t="shared" si="154"/>
        <v>43060</v>
      </c>
      <c r="B574" s="23">
        <f>ROUNDUP((A574-Yleistiedot!$B$4)/7,0)</f>
        <v>99</v>
      </c>
      <c r="C574" s="16"/>
      <c r="D574" s="25"/>
      <c r="E574" s="25"/>
      <c r="F574" s="25"/>
      <c r="G574" s="25"/>
      <c r="H574" s="25"/>
      <c r="I574" s="65">
        <f t="shared" si="149"/>
        <v>0</v>
      </c>
      <c r="J574" s="26"/>
      <c r="K574" s="25"/>
      <c r="L574" s="16"/>
      <c r="M574" s="16"/>
      <c r="N574" s="25"/>
      <c r="O574" s="30"/>
      <c r="P574" s="252">
        <f t="shared" si="161"/>
        <v>9990</v>
      </c>
      <c r="Q574" s="253">
        <f t="shared" si="162"/>
        <v>0</v>
      </c>
      <c r="R574" s="253">
        <f t="shared" si="163"/>
        <v>0</v>
      </c>
      <c r="S574" s="251">
        <f>SUMIFS('tuot-rehukirjanpito'!D:D,'tuot-rehukirjanpito'!A:A,A574)</f>
        <v>0</v>
      </c>
      <c r="T574" s="254">
        <f t="shared" si="157"/>
        <v>1098.9000000000001</v>
      </c>
      <c r="U574" s="254">
        <f t="shared" si="158"/>
        <v>1098.8999999999999</v>
      </c>
      <c r="V574" s="252">
        <f t="shared" si="159"/>
        <v>-628570.8000000068</v>
      </c>
      <c r="W574" s="255">
        <f t="shared" si="160"/>
        <v>-572.00000000000614</v>
      </c>
      <c r="X574" s="256" t="str">
        <f t="shared" si="164"/>
        <v/>
      </c>
      <c r="Y574" s="256" t="str">
        <f t="shared" si="165"/>
        <v/>
      </c>
      <c r="Z574" s="224" t="str">
        <f>IF(IFERROR(INDEX('tuot-rehukirjanpito'!I:I,MATCH(A574,'tuot-rehukirjanpito'!G:G,0)),)=0,"",INDEX('tuot-rehukirjanpito'!I:I,MATCH(A574,'tuot-rehukirjanpito'!G:G,0)))</f>
        <v/>
      </c>
      <c r="AA574" s="224">
        <f>SUMIFS('tuot-INFO'!$K$10:$K$115,'tuot-INFO'!$A$10:$A$115,'tuot-PVÄ'!B574)</f>
        <v>0</v>
      </c>
      <c r="AB574" s="224">
        <f>SUMIFS('rehu-vesi-INFO'!$R:$R,'rehu-vesi-INFO'!$A:$A,'tuot-PVÄ'!B574)</f>
        <v>1746</v>
      </c>
      <c r="AC574" s="224">
        <f>SUMIFS('rehu-vesi-INFO'!$S:$S,'rehu-vesi-INFO'!$A:$A,'tuot-PVÄ'!B574)</f>
        <v>1853</v>
      </c>
      <c r="AD574" s="224">
        <f t="shared" si="150"/>
        <v>107</v>
      </c>
      <c r="AE574" s="224">
        <f t="shared" si="151"/>
        <v>0</v>
      </c>
      <c r="AF574" s="224">
        <f t="shared" si="152"/>
        <v>174.6</v>
      </c>
      <c r="AG574" s="224">
        <f t="shared" si="153"/>
        <v>10.7</v>
      </c>
      <c r="AH574" s="257">
        <f t="shared" si="155"/>
        <v>0</v>
      </c>
      <c r="AI574" s="258">
        <f t="shared" si="156"/>
        <v>0</v>
      </c>
      <c r="AJ574" s="55">
        <f>SUMIFS('tuot-INFO'!W:W,'tuot-INFO'!$A:$A,'tuot-PVÄ'!B574)</f>
        <v>0</v>
      </c>
      <c r="AK574" s="55">
        <f>SUMIFS('tuot-INFO'!X:X,'tuot-INFO'!$A:$A,'tuot-PVÄ'!B574)</f>
        <v>0</v>
      </c>
    </row>
    <row r="575" spans="1:37" x14ac:dyDescent="0.25">
      <c r="A575" s="169">
        <f t="shared" si="154"/>
        <v>43061</v>
      </c>
      <c r="B575" s="23">
        <f>ROUNDUP((A575-Yleistiedot!$B$4)/7,0)</f>
        <v>99</v>
      </c>
      <c r="C575" s="16"/>
      <c r="D575" s="25"/>
      <c r="E575" s="25"/>
      <c r="F575" s="25"/>
      <c r="G575" s="25"/>
      <c r="H575" s="25"/>
      <c r="I575" s="65">
        <f t="shared" si="149"/>
        <v>0</v>
      </c>
      <c r="J575" s="26"/>
      <c r="K575" s="25"/>
      <c r="L575" s="16"/>
      <c r="M575" s="16"/>
      <c r="N575" s="25"/>
      <c r="O575" s="30"/>
      <c r="P575" s="252">
        <f t="shared" si="161"/>
        <v>9990</v>
      </c>
      <c r="Q575" s="253">
        <f t="shared" si="162"/>
        <v>0</v>
      </c>
      <c r="R575" s="253">
        <f t="shared" si="163"/>
        <v>0</v>
      </c>
      <c r="S575" s="251">
        <f>SUMIFS('tuot-rehukirjanpito'!D:D,'tuot-rehukirjanpito'!A:A,A575)</f>
        <v>0</v>
      </c>
      <c r="T575" s="254">
        <f t="shared" si="157"/>
        <v>1098.9000000000001</v>
      </c>
      <c r="U575" s="254">
        <f t="shared" si="158"/>
        <v>1098.8999999999999</v>
      </c>
      <c r="V575" s="252">
        <f t="shared" si="159"/>
        <v>-629669.70000000682</v>
      </c>
      <c r="W575" s="255">
        <f t="shared" si="160"/>
        <v>-573.00000000000614</v>
      </c>
      <c r="X575" s="256" t="str">
        <f t="shared" si="164"/>
        <v/>
      </c>
      <c r="Y575" s="256" t="str">
        <f t="shared" si="165"/>
        <v/>
      </c>
      <c r="Z575" s="224" t="str">
        <f>IF(IFERROR(INDEX('tuot-rehukirjanpito'!I:I,MATCH(A575,'tuot-rehukirjanpito'!G:G,0)),)=0,"",INDEX('tuot-rehukirjanpito'!I:I,MATCH(A575,'tuot-rehukirjanpito'!G:G,0)))</f>
        <v/>
      </c>
      <c r="AA575" s="224">
        <f>SUMIFS('tuot-INFO'!$K$10:$K$115,'tuot-INFO'!$A$10:$A$115,'tuot-PVÄ'!B575)</f>
        <v>0</v>
      </c>
      <c r="AB575" s="224">
        <f>SUMIFS('rehu-vesi-INFO'!$R:$R,'rehu-vesi-INFO'!$A:$A,'tuot-PVÄ'!B575)</f>
        <v>1746</v>
      </c>
      <c r="AC575" s="224">
        <f>SUMIFS('rehu-vesi-INFO'!$S:$S,'rehu-vesi-INFO'!$A:$A,'tuot-PVÄ'!B575)</f>
        <v>1853</v>
      </c>
      <c r="AD575" s="224">
        <f t="shared" si="150"/>
        <v>107</v>
      </c>
      <c r="AE575" s="224">
        <f t="shared" si="151"/>
        <v>0</v>
      </c>
      <c r="AF575" s="224">
        <f t="shared" si="152"/>
        <v>174.6</v>
      </c>
      <c r="AG575" s="224">
        <f t="shared" si="153"/>
        <v>10.7</v>
      </c>
      <c r="AH575" s="257">
        <f t="shared" si="155"/>
        <v>0</v>
      </c>
      <c r="AI575" s="258">
        <f t="shared" si="156"/>
        <v>0</v>
      </c>
      <c r="AJ575" s="55">
        <f>SUMIFS('tuot-INFO'!W:W,'tuot-INFO'!$A:$A,'tuot-PVÄ'!B575)</f>
        <v>0</v>
      </c>
      <c r="AK575" s="55">
        <f>SUMIFS('tuot-INFO'!X:X,'tuot-INFO'!$A:$A,'tuot-PVÄ'!B575)</f>
        <v>0</v>
      </c>
    </row>
    <row r="576" spans="1:37" x14ac:dyDescent="0.25">
      <c r="A576" s="169">
        <f t="shared" si="154"/>
        <v>43062</v>
      </c>
      <c r="B576" s="23">
        <f>ROUNDUP((A576-Yleistiedot!$B$4)/7,0)</f>
        <v>99</v>
      </c>
      <c r="C576" s="16"/>
      <c r="D576" s="25"/>
      <c r="E576" s="25"/>
      <c r="F576" s="25"/>
      <c r="G576" s="25"/>
      <c r="H576" s="25"/>
      <c r="I576" s="65">
        <f t="shared" si="149"/>
        <v>0</v>
      </c>
      <c r="J576" s="26"/>
      <c r="K576" s="25"/>
      <c r="L576" s="16"/>
      <c r="M576" s="16"/>
      <c r="N576" s="25"/>
      <c r="O576" s="30"/>
      <c r="P576" s="252">
        <f t="shared" si="161"/>
        <v>9990</v>
      </c>
      <c r="Q576" s="253">
        <f t="shared" si="162"/>
        <v>0</v>
      </c>
      <c r="R576" s="253">
        <f t="shared" si="163"/>
        <v>0</v>
      </c>
      <c r="S576" s="251">
        <f>SUMIFS('tuot-rehukirjanpito'!D:D,'tuot-rehukirjanpito'!A:A,A576)</f>
        <v>0</v>
      </c>
      <c r="T576" s="254">
        <f t="shared" si="157"/>
        <v>1098.9000000000001</v>
      </c>
      <c r="U576" s="254">
        <f t="shared" si="158"/>
        <v>1098.8999999999999</v>
      </c>
      <c r="V576" s="252">
        <f t="shared" si="159"/>
        <v>-630768.60000000685</v>
      </c>
      <c r="W576" s="255">
        <f t="shared" si="160"/>
        <v>-574.00000000000614</v>
      </c>
      <c r="X576" s="256" t="str">
        <f t="shared" si="164"/>
        <v/>
      </c>
      <c r="Y576" s="256" t="str">
        <f t="shared" si="165"/>
        <v/>
      </c>
      <c r="Z576" s="224" t="str">
        <f>IF(IFERROR(INDEX('tuot-rehukirjanpito'!I:I,MATCH(A576,'tuot-rehukirjanpito'!G:G,0)),)=0,"",INDEX('tuot-rehukirjanpito'!I:I,MATCH(A576,'tuot-rehukirjanpito'!G:G,0)))</f>
        <v/>
      </c>
      <c r="AA576" s="224">
        <f>SUMIFS('tuot-INFO'!$K$10:$K$115,'tuot-INFO'!$A$10:$A$115,'tuot-PVÄ'!B576)</f>
        <v>0</v>
      </c>
      <c r="AB576" s="224">
        <f>SUMIFS('rehu-vesi-INFO'!$R:$R,'rehu-vesi-INFO'!$A:$A,'tuot-PVÄ'!B576)</f>
        <v>1746</v>
      </c>
      <c r="AC576" s="224">
        <f>SUMIFS('rehu-vesi-INFO'!$S:$S,'rehu-vesi-INFO'!$A:$A,'tuot-PVÄ'!B576)</f>
        <v>1853</v>
      </c>
      <c r="AD576" s="224">
        <f t="shared" si="150"/>
        <v>107</v>
      </c>
      <c r="AE576" s="224">
        <f t="shared" si="151"/>
        <v>0</v>
      </c>
      <c r="AF576" s="224">
        <f t="shared" si="152"/>
        <v>174.6</v>
      </c>
      <c r="AG576" s="224">
        <f t="shared" si="153"/>
        <v>10.7</v>
      </c>
      <c r="AH576" s="257">
        <f t="shared" si="155"/>
        <v>0</v>
      </c>
      <c r="AI576" s="258">
        <f t="shared" si="156"/>
        <v>0</v>
      </c>
      <c r="AJ576" s="55">
        <f>SUMIFS('tuot-INFO'!W:W,'tuot-INFO'!$A:$A,'tuot-PVÄ'!B576)</f>
        <v>0</v>
      </c>
      <c r="AK576" s="55">
        <f>SUMIFS('tuot-INFO'!X:X,'tuot-INFO'!$A:$A,'tuot-PVÄ'!B576)</f>
        <v>0</v>
      </c>
    </row>
    <row r="577" spans="1:37" x14ac:dyDescent="0.25">
      <c r="A577" s="169">
        <f t="shared" si="154"/>
        <v>43063</v>
      </c>
      <c r="B577" s="23">
        <f>ROUNDUP((A577-Yleistiedot!$B$4)/7,0)</f>
        <v>99</v>
      </c>
      <c r="C577" s="16"/>
      <c r="D577" s="25"/>
      <c r="E577" s="25"/>
      <c r="F577" s="25"/>
      <c r="G577" s="25"/>
      <c r="H577" s="25"/>
      <c r="I577" s="65">
        <f t="shared" si="149"/>
        <v>0</v>
      </c>
      <c r="J577" s="26"/>
      <c r="K577" s="25"/>
      <c r="L577" s="16"/>
      <c r="M577" s="16"/>
      <c r="N577" s="25"/>
      <c r="O577" s="30"/>
      <c r="P577" s="252">
        <f t="shared" si="161"/>
        <v>9990</v>
      </c>
      <c r="Q577" s="253">
        <f t="shared" si="162"/>
        <v>0</v>
      </c>
      <c r="R577" s="253">
        <f t="shared" si="163"/>
        <v>0</v>
      </c>
      <c r="S577" s="251">
        <f>SUMIFS('tuot-rehukirjanpito'!D:D,'tuot-rehukirjanpito'!A:A,A577)</f>
        <v>0</v>
      </c>
      <c r="T577" s="254">
        <f t="shared" si="157"/>
        <v>1098.9000000000001</v>
      </c>
      <c r="U577" s="254">
        <f t="shared" si="158"/>
        <v>1098.8999999999999</v>
      </c>
      <c r="V577" s="252">
        <f t="shared" si="159"/>
        <v>-631867.50000000687</v>
      </c>
      <c r="W577" s="255">
        <f t="shared" si="160"/>
        <v>-575.00000000000625</v>
      </c>
      <c r="X577" s="256" t="str">
        <f t="shared" si="164"/>
        <v/>
      </c>
      <c r="Y577" s="256" t="str">
        <f t="shared" si="165"/>
        <v/>
      </c>
      <c r="Z577" s="224" t="str">
        <f>IF(IFERROR(INDEX('tuot-rehukirjanpito'!I:I,MATCH(A577,'tuot-rehukirjanpito'!G:G,0)),)=0,"",INDEX('tuot-rehukirjanpito'!I:I,MATCH(A577,'tuot-rehukirjanpito'!G:G,0)))</f>
        <v/>
      </c>
      <c r="AA577" s="224">
        <f>SUMIFS('tuot-INFO'!$K$10:$K$115,'tuot-INFO'!$A$10:$A$115,'tuot-PVÄ'!B577)</f>
        <v>0</v>
      </c>
      <c r="AB577" s="224">
        <f>SUMIFS('rehu-vesi-INFO'!$R:$R,'rehu-vesi-INFO'!$A:$A,'tuot-PVÄ'!B577)</f>
        <v>1746</v>
      </c>
      <c r="AC577" s="224">
        <f>SUMIFS('rehu-vesi-INFO'!$S:$S,'rehu-vesi-INFO'!$A:$A,'tuot-PVÄ'!B577)</f>
        <v>1853</v>
      </c>
      <c r="AD577" s="224">
        <f t="shared" si="150"/>
        <v>107</v>
      </c>
      <c r="AE577" s="224">
        <f t="shared" si="151"/>
        <v>0</v>
      </c>
      <c r="AF577" s="224">
        <f t="shared" si="152"/>
        <v>174.6</v>
      </c>
      <c r="AG577" s="224">
        <f t="shared" si="153"/>
        <v>10.7</v>
      </c>
      <c r="AH577" s="257">
        <f t="shared" si="155"/>
        <v>0</v>
      </c>
      <c r="AI577" s="258">
        <f t="shared" si="156"/>
        <v>0</v>
      </c>
      <c r="AJ577" s="55">
        <f>SUMIFS('tuot-INFO'!W:W,'tuot-INFO'!$A:$A,'tuot-PVÄ'!B577)</f>
        <v>0</v>
      </c>
      <c r="AK577" s="55">
        <f>SUMIFS('tuot-INFO'!X:X,'tuot-INFO'!$A:$A,'tuot-PVÄ'!B577)</f>
        <v>0</v>
      </c>
    </row>
    <row r="578" spans="1:37" x14ac:dyDescent="0.25">
      <c r="A578" s="169">
        <f t="shared" si="154"/>
        <v>43064</v>
      </c>
      <c r="B578" s="23">
        <f>ROUNDUP((A578-Yleistiedot!$B$4)/7,0)</f>
        <v>100</v>
      </c>
      <c r="C578" s="16"/>
      <c r="D578" s="25"/>
      <c r="E578" s="25"/>
      <c r="F578" s="25"/>
      <c r="G578" s="25"/>
      <c r="H578" s="25"/>
      <c r="I578" s="65">
        <f t="shared" si="149"/>
        <v>0</v>
      </c>
      <c r="J578" s="26"/>
      <c r="K578" s="25"/>
      <c r="L578" s="16"/>
      <c r="M578" s="16"/>
      <c r="N578" s="25"/>
      <c r="O578" s="30"/>
      <c r="P578" s="252">
        <f t="shared" si="161"/>
        <v>9990</v>
      </c>
      <c r="Q578" s="253">
        <f t="shared" si="162"/>
        <v>0</v>
      </c>
      <c r="R578" s="253">
        <f t="shared" si="163"/>
        <v>0</v>
      </c>
      <c r="S578" s="251">
        <f>SUMIFS('tuot-rehukirjanpito'!D:D,'tuot-rehukirjanpito'!A:A,A578)</f>
        <v>0</v>
      </c>
      <c r="T578" s="254">
        <f t="shared" si="157"/>
        <v>1098.9000000000001</v>
      </c>
      <c r="U578" s="254">
        <f t="shared" si="158"/>
        <v>1098.8999999999999</v>
      </c>
      <c r="V578" s="252">
        <f t="shared" si="159"/>
        <v>-632966.40000000689</v>
      </c>
      <c r="W578" s="255">
        <f t="shared" si="160"/>
        <v>-576.00000000000625</v>
      </c>
      <c r="X578" s="256" t="str">
        <f t="shared" si="164"/>
        <v/>
      </c>
      <c r="Y578" s="256" t="str">
        <f t="shared" si="165"/>
        <v/>
      </c>
      <c r="Z578" s="224" t="str">
        <f>IF(IFERROR(INDEX('tuot-rehukirjanpito'!I:I,MATCH(A578,'tuot-rehukirjanpito'!G:G,0)),)=0,"",INDEX('tuot-rehukirjanpito'!I:I,MATCH(A578,'tuot-rehukirjanpito'!G:G,0)))</f>
        <v/>
      </c>
      <c r="AA578" s="224">
        <f>SUMIFS('tuot-INFO'!$K$10:$K$115,'tuot-INFO'!$A$10:$A$115,'tuot-PVÄ'!B578)</f>
        <v>0</v>
      </c>
      <c r="AB578" s="224">
        <f>SUMIFS('rehu-vesi-INFO'!$R:$R,'rehu-vesi-INFO'!$A:$A,'tuot-PVÄ'!B578)</f>
        <v>1746</v>
      </c>
      <c r="AC578" s="224">
        <f>SUMIFS('rehu-vesi-INFO'!$S:$S,'rehu-vesi-INFO'!$A:$A,'tuot-PVÄ'!B578)</f>
        <v>1853</v>
      </c>
      <c r="AD578" s="224">
        <f t="shared" si="150"/>
        <v>107</v>
      </c>
      <c r="AE578" s="224">
        <f t="shared" si="151"/>
        <v>0</v>
      </c>
      <c r="AF578" s="224">
        <f t="shared" si="152"/>
        <v>174.6</v>
      </c>
      <c r="AG578" s="224">
        <f t="shared" si="153"/>
        <v>10.7</v>
      </c>
      <c r="AH578" s="257">
        <f t="shared" si="155"/>
        <v>0</v>
      </c>
      <c r="AI578" s="258">
        <f t="shared" si="156"/>
        <v>0</v>
      </c>
      <c r="AJ578" s="55">
        <f>SUMIFS('tuot-INFO'!W:W,'tuot-INFO'!$A:$A,'tuot-PVÄ'!B578)</f>
        <v>0</v>
      </c>
      <c r="AK578" s="55">
        <f>SUMIFS('tuot-INFO'!X:X,'tuot-INFO'!$A:$A,'tuot-PVÄ'!B578)</f>
        <v>0</v>
      </c>
    </row>
    <row r="579" spans="1:37" x14ac:dyDescent="0.25">
      <c r="A579" s="169">
        <f t="shared" si="154"/>
        <v>43065</v>
      </c>
      <c r="B579" s="23">
        <f>ROUNDUP((A579-Yleistiedot!$B$4)/7,0)</f>
        <v>100</v>
      </c>
      <c r="C579" s="16"/>
      <c r="D579" s="25"/>
      <c r="E579" s="25"/>
      <c r="F579" s="25"/>
      <c r="G579" s="25"/>
      <c r="H579" s="25"/>
      <c r="I579" s="65">
        <f t="shared" si="149"/>
        <v>0</v>
      </c>
      <c r="J579" s="26"/>
      <c r="K579" s="25"/>
      <c r="L579" s="16"/>
      <c r="M579" s="16"/>
      <c r="N579" s="25"/>
      <c r="O579" s="30"/>
      <c r="P579" s="252">
        <f t="shared" si="161"/>
        <v>9990</v>
      </c>
      <c r="Q579" s="253">
        <f t="shared" si="162"/>
        <v>0</v>
      </c>
      <c r="R579" s="253">
        <f t="shared" si="163"/>
        <v>0</v>
      </c>
      <c r="S579" s="251">
        <f>SUMIFS('tuot-rehukirjanpito'!D:D,'tuot-rehukirjanpito'!A:A,A579)</f>
        <v>0</v>
      </c>
      <c r="T579" s="254">
        <f t="shared" si="157"/>
        <v>1098.9000000000001</v>
      </c>
      <c r="U579" s="254">
        <f t="shared" si="158"/>
        <v>1098.8999999999999</v>
      </c>
      <c r="V579" s="252">
        <f t="shared" si="159"/>
        <v>-634065.30000000692</v>
      </c>
      <c r="W579" s="255">
        <f t="shared" si="160"/>
        <v>-577.00000000000625</v>
      </c>
      <c r="X579" s="256" t="str">
        <f t="shared" si="164"/>
        <v/>
      </c>
      <c r="Y579" s="256" t="str">
        <f t="shared" si="165"/>
        <v/>
      </c>
      <c r="Z579" s="224" t="str">
        <f>IF(IFERROR(INDEX('tuot-rehukirjanpito'!I:I,MATCH(A579,'tuot-rehukirjanpito'!G:G,0)),)=0,"",INDEX('tuot-rehukirjanpito'!I:I,MATCH(A579,'tuot-rehukirjanpito'!G:G,0)))</f>
        <v/>
      </c>
      <c r="AA579" s="224">
        <f>SUMIFS('tuot-INFO'!$K$10:$K$115,'tuot-INFO'!$A$10:$A$115,'tuot-PVÄ'!B579)</f>
        <v>0</v>
      </c>
      <c r="AB579" s="224">
        <f>SUMIFS('rehu-vesi-INFO'!$R:$R,'rehu-vesi-INFO'!$A:$A,'tuot-PVÄ'!B579)</f>
        <v>1746</v>
      </c>
      <c r="AC579" s="224">
        <f>SUMIFS('rehu-vesi-INFO'!$S:$S,'rehu-vesi-INFO'!$A:$A,'tuot-PVÄ'!B579)</f>
        <v>1853</v>
      </c>
      <c r="AD579" s="224">
        <f t="shared" si="150"/>
        <v>107</v>
      </c>
      <c r="AE579" s="224">
        <f t="shared" si="151"/>
        <v>0</v>
      </c>
      <c r="AF579" s="224">
        <f t="shared" si="152"/>
        <v>174.6</v>
      </c>
      <c r="AG579" s="224">
        <f t="shared" si="153"/>
        <v>10.7</v>
      </c>
      <c r="AH579" s="257">
        <f t="shared" si="155"/>
        <v>0</v>
      </c>
      <c r="AI579" s="258">
        <f t="shared" si="156"/>
        <v>0</v>
      </c>
      <c r="AJ579" s="55">
        <f>SUMIFS('tuot-INFO'!W:W,'tuot-INFO'!$A:$A,'tuot-PVÄ'!B579)</f>
        <v>0</v>
      </c>
      <c r="AK579" s="55">
        <f>SUMIFS('tuot-INFO'!X:X,'tuot-INFO'!$A:$A,'tuot-PVÄ'!B579)</f>
        <v>0</v>
      </c>
    </row>
    <row r="580" spans="1:37" x14ac:dyDescent="0.25">
      <c r="A580" s="169">
        <f t="shared" si="154"/>
        <v>43066</v>
      </c>
      <c r="B580" s="23">
        <f>ROUNDUP((A580-Yleistiedot!$B$4)/7,0)</f>
        <v>100</v>
      </c>
      <c r="C580" s="16"/>
      <c r="D580" s="25"/>
      <c r="E580" s="25"/>
      <c r="F580" s="25"/>
      <c r="G580" s="25"/>
      <c r="H580" s="25"/>
      <c r="I580" s="65">
        <f t="shared" ref="I580:I643" si="166">SUM(E580:H580)</f>
        <v>0</v>
      </c>
      <c r="J580" s="26"/>
      <c r="K580" s="25"/>
      <c r="L580" s="16"/>
      <c r="M580" s="16"/>
      <c r="N580" s="25"/>
      <c r="O580" s="30"/>
      <c r="P580" s="252">
        <f t="shared" si="161"/>
        <v>9990</v>
      </c>
      <c r="Q580" s="253">
        <f t="shared" si="162"/>
        <v>0</v>
      </c>
      <c r="R580" s="253">
        <f t="shared" si="163"/>
        <v>0</v>
      </c>
      <c r="S580" s="251">
        <f>SUMIFS('tuot-rehukirjanpito'!D:D,'tuot-rehukirjanpito'!A:A,A580)</f>
        <v>0</v>
      </c>
      <c r="T580" s="254">
        <f t="shared" si="157"/>
        <v>1098.9000000000001</v>
      </c>
      <c r="U580" s="254">
        <f t="shared" si="158"/>
        <v>1098.8999999999999</v>
      </c>
      <c r="V580" s="252">
        <f t="shared" si="159"/>
        <v>-635164.20000000694</v>
      </c>
      <c r="W580" s="255">
        <f t="shared" si="160"/>
        <v>-578.00000000000625</v>
      </c>
      <c r="X580" s="256" t="str">
        <f t="shared" si="164"/>
        <v/>
      </c>
      <c r="Y580" s="256" t="str">
        <f t="shared" si="165"/>
        <v/>
      </c>
      <c r="Z580" s="224" t="str">
        <f>IF(IFERROR(INDEX('tuot-rehukirjanpito'!I:I,MATCH(A580,'tuot-rehukirjanpito'!G:G,0)),)=0,"",INDEX('tuot-rehukirjanpito'!I:I,MATCH(A580,'tuot-rehukirjanpito'!G:G,0)))</f>
        <v/>
      </c>
      <c r="AA580" s="224">
        <f>SUMIFS('tuot-INFO'!$K$10:$K$115,'tuot-INFO'!$A$10:$A$115,'tuot-PVÄ'!B580)</f>
        <v>0</v>
      </c>
      <c r="AB580" s="224">
        <f>SUMIFS('rehu-vesi-INFO'!$R:$R,'rehu-vesi-INFO'!$A:$A,'tuot-PVÄ'!B580)</f>
        <v>1746</v>
      </c>
      <c r="AC580" s="224">
        <f>SUMIFS('rehu-vesi-INFO'!$S:$S,'rehu-vesi-INFO'!$A:$A,'tuot-PVÄ'!B580)</f>
        <v>1853</v>
      </c>
      <c r="AD580" s="224">
        <f t="shared" ref="AD580:AD643" si="167">AC580-AB580</f>
        <v>107</v>
      </c>
      <c r="AE580" s="224">
        <f t="shared" ref="AE580:AE643" si="168">K580/10</f>
        <v>0</v>
      </c>
      <c r="AF580" s="224">
        <f t="shared" ref="AF580:AF643" si="169">AB580/10</f>
        <v>174.6</v>
      </c>
      <c r="AG580" s="224">
        <f t="shared" ref="AG580:AG643" si="170">AD580/10</f>
        <v>10.7</v>
      </c>
      <c r="AH580" s="257">
        <f t="shared" si="155"/>
        <v>0</v>
      </c>
      <c r="AI580" s="258">
        <f t="shared" si="156"/>
        <v>0</v>
      </c>
      <c r="AJ580" s="55">
        <f>SUMIFS('tuot-INFO'!W:W,'tuot-INFO'!$A:$A,'tuot-PVÄ'!B580)</f>
        <v>0</v>
      </c>
      <c r="AK580" s="55">
        <f>SUMIFS('tuot-INFO'!X:X,'tuot-INFO'!$A:$A,'tuot-PVÄ'!B580)</f>
        <v>0</v>
      </c>
    </row>
    <row r="581" spans="1:37" x14ac:dyDescent="0.25">
      <c r="A581" s="169">
        <f t="shared" ref="A581:A644" si="171">A580+1</f>
        <v>43067</v>
      </c>
      <c r="B581" s="23">
        <f>ROUNDUP((A581-Yleistiedot!$B$4)/7,0)</f>
        <v>100</v>
      </c>
      <c r="C581" s="16"/>
      <c r="D581" s="25"/>
      <c r="E581" s="25"/>
      <c r="F581" s="25"/>
      <c r="G581" s="25"/>
      <c r="H581" s="25"/>
      <c r="I581" s="65">
        <f t="shared" si="166"/>
        <v>0</v>
      </c>
      <c r="J581" s="26"/>
      <c r="K581" s="25"/>
      <c r="L581" s="16"/>
      <c r="M581" s="16"/>
      <c r="N581" s="25"/>
      <c r="O581" s="30"/>
      <c r="P581" s="252">
        <f t="shared" si="161"/>
        <v>9990</v>
      </c>
      <c r="Q581" s="253">
        <f t="shared" si="162"/>
        <v>0</v>
      </c>
      <c r="R581" s="253">
        <f t="shared" si="163"/>
        <v>0</v>
      </c>
      <c r="S581" s="251">
        <f>SUMIFS('tuot-rehukirjanpito'!D:D,'tuot-rehukirjanpito'!A:A,A581)</f>
        <v>0</v>
      </c>
      <c r="T581" s="254">
        <f t="shared" si="157"/>
        <v>1098.9000000000001</v>
      </c>
      <c r="U581" s="254">
        <f t="shared" si="158"/>
        <v>1098.8999999999999</v>
      </c>
      <c r="V581" s="252">
        <f t="shared" si="159"/>
        <v>-636263.10000000696</v>
      </c>
      <c r="W581" s="255">
        <f t="shared" si="160"/>
        <v>-579.00000000000625</v>
      </c>
      <c r="X581" s="256" t="str">
        <f t="shared" si="164"/>
        <v/>
      </c>
      <c r="Y581" s="256" t="str">
        <f t="shared" si="165"/>
        <v/>
      </c>
      <c r="Z581" s="224" t="str">
        <f>IF(IFERROR(INDEX('tuot-rehukirjanpito'!I:I,MATCH(A581,'tuot-rehukirjanpito'!G:G,0)),)=0,"",INDEX('tuot-rehukirjanpito'!I:I,MATCH(A581,'tuot-rehukirjanpito'!G:G,0)))</f>
        <v/>
      </c>
      <c r="AA581" s="224">
        <f>SUMIFS('tuot-INFO'!$K$10:$K$115,'tuot-INFO'!$A$10:$A$115,'tuot-PVÄ'!B581)</f>
        <v>0</v>
      </c>
      <c r="AB581" s="224">
        <f>SUMIFS('rehu-vesi-INFO'!$R:$R,'rehu-vesi-INFO'!$A:$A,'tuot-PVÄ'!B581)</f>
        <v>1746</v>
      </c>
      <c r="AC581" s="224">
        <f>SUMIFS('rehu-vesi-INFO'!$S:$S,'rehu-vesi-INFO'!$A:$A,'tuot-PVÄ'!B581)</f>
        <v>1853</v>
      </c>
      <c r="AD581" s="224">
        <f t="shared" si="167"/>
        <v>107</v>
      </c>
      <c r="AE581" s="224">
        <f t="shared" si="168"/>
        <v>0</v>
      </c>
      <c r="AF581" s="224">
        <f t="shared" si="169"/>
        <v>174.6</v>
      </c>
      <c r="AG581" s="224">
        <f t="shared" si="170"/>
        <v>10.7</v>
      </c>
      <c r="AH581" s="257">
        <f t="shared" si="155"/>
        <v>0</v>
      </c>
      <c r="AI581" s="258">
        <f t="shared" si="156"/>
        <v>0</v>
      </c>
      <c r="AJ581" s="55">
        <f>SUMIFS('tuot-INFO'!W:W,'tuot-INFO'!$A:$A,'tuot-PVÄ'!B581)</f>
        <v>0</v>
      </c>
      <c r="AK581" s="55">
        <f>SUMIFS('tuot-INFO'!X:X,'tuot-INFO'!$A:$A,'tuot-PVÄ'!B581)</f>
        <v>0</v>
      </c>
    </row>
    <row r="582" spans="1:37" x14ac:dyDescent="0.25">
      <c r="A582" s="169">
        <f t="shared" si="171"/>
        <v>43068</v>
      </c>
      <c r="B582" s="23">
        <f>ROUNDUP((A582-Yleistiedot!$B$4)/7,0)</f>
        <v>100</v>
      </c>
      <c r="C582" s="16"/>
      <c r="D582" s="25"/>
      <c r="E582" s="25"/>
      <c r="F582" s="25"/>
      <c r="G582" s="25"/>
      <c r="H582" s="25"/>
      <c r="I582" s="65">
        <f t="shared" si="166"/>
        <v>0</v>
      </c>
      <c r="J582" s="26"/>
      <c r="K582" s="25"/>
      <c r="L582" s="16"/>
      <c r="M582" s="16"/>
      <c r="N582" s="25"/>
      <c r="O582" s="30"/>
      <c r="P582" s="252">
        <f t="shared" si="161"/>
        <v>9990</v>
      </c>
      <c r="Q582" s="253">
        <f t="shared" si="162"/>
        <v>0</v>
      </c>
      <c r="R582" s="253">
        <f t="shared" si="163"/>
        <v>0</v>
      </c>
      <c r="S582" s="251">
        <f>SUMIFS('tuot-rehukirjanpito'!D:D,'tuot-rehukirjanpito'!A:A,A582)</f>
        <v>0</v>
      </c>
      <c r="T582" s="254">
        <f t="shared" si="157"/>
        <v>1098.9000000000001</v>
      </c>
      <c r="U582" s="254">
        <f t="shared" si="158"/>
        <v>1098.8999999999999</v>
      </c>
      <c r="V582" s="252">
        <f t="shared" si="159"/>
        <v>-637362.00000000698</v>
      </c>
      <c r="W582" s="255">
        <f t="shared" si="160"/>
        <v>-580.00000000000625</v>
      </c>
      <c r="X582" s="256" t="str">
        <f t="shared" si="164"/>
        <v/>
      </c>
      <c r="Y582" s="256" t="str">
        <f t="shared" si="165"/>
        <v/>
      </c>
      <c r="Z582" s="224" t="str">
        <f>IF(IFERROR(INDEX('tuot-rehukirjanpito'!I:I,MATCH(A582,'tuot-rehukirjanpito'!G:G,0)),)=0,"",INDEX('tuot-rehukirjanpito'!I:I,MATCH(A582,'tuot-rehukirjanpito'!G:G,0)))</f>
        <v/>
      </c>
      <c r="AA582" s="224">
        <f>SUMIFS('tuot-INFO'!$K$10:$K$115,'tuot-INFO'!$A$10:$A$115,'tuot-PVÄ'!B582)</f>
        <v>0</v>
      </c>
      <c r="AB582" s="224">
        <f>SUMIFS('rehu-vesi-INFO'!$R:$R,'rehu-vesi-INFO'!$A:$A,'tuot-PVÄ'!B582)</f>
        <v>1746</v>
      </c>
      <c r="AC582" s="224">
        <f>SUMIFS('rehu-vesi-INFO'!$S:$S,'rehu-vesi-INFO'!$A:$A,'tuot-PVÄ'!B582)</f>
        <v>1853</v>
      </c>
      <c r="AD582" s="224">
        <f t="shared" si="167"/>
        <v>107</v>
      </c>
      <c r="AE582" s="224">
        <f t="shared" si="168"/>
        <v>0</v>
      </c>
      <c r="AF582" s="224">
        <f t="shared" si="169"/>
        <v>174.6</v>
      </c>
      <c r="AG582" s="224">
        <f t="shared" si="170"/>
        <v>10.7</v>
      </c>
      <c r="AH582" s="257">
        <f t="shared" ref="AH582:AH645" si="172">IFERROR(AVERAGE(L580:L582),)</f>
        <v>0</v>
      </c>
      <c r="AI582" s="258">
        <f t="shared" ref="AI582:AI645" si="173">AVERAGE(Q581+R581,Q582+R582,Q580+R580)</f>
        <v>0</v>
      </c>
      <c r="AJ582" s="55">
        <f>SUMIFS('tuot-INFO'!W:W,'tuot-INFO'!$A:$A,'tuot-PVÄ'!B582)</f>
        <v>0</v>
      </c>
      <c r="AK582" s="55">
        <f>SUMIFS('tuot-INFO'!X:X,'tuot-INFO'!$A:$A,'tuot-PVÄ'!B582)</f>
        <v>0</v>
      </c>
    </row>
    <row r="583" spans="1:37" x14ac:dyDescent="0.25">
      <c r="A583" s="169">
        <f t="shared" si="171"/>
        <v>43069</v>
      </c>
      <c r="B583" s="23">
        <f>ROUNDUP((A583-Yleistiedot!$B$4)/7,0)</f>
        <v>100</v>
      </c>
      <c r="C583" s="16"/>
      <c r="D583" s="25"/>
      <c r="E583" s="25"/>
      <c r="F583" s="25"/>
      <c r="G583" s="25"/>
      <c r="H583" s="25"/>
      <c r="I583" s="65">
        <f t="shared" si="166"/>
        <v>0</v>
      </c>
      <c r="J583" s="26"/>
      <c r="K583" s="25"/>
      <c r="L583" s="16"/>
      <c r="M583" s="16"/>
      <c r="N583" s="25"/>
      <c r="O583" s="30"/>
      <c r="P583" s="252">
        <f t="shared" si="161"/>
        <v>9990</v>
      </c>
      <c r="Q583" s="253">
        <f t="shared" si="162"/>
        <v>0</v>
      </c>
      <c r="R583" s="253">
        <f t="shared" si="163"/>
        <v>0</v>
      </c>
      <c r="S583" s="251">
        <f>SUMIFS('tuot-rehukirjanpito'!D:D,'tuot-rehukirjanpito'!A:A,A583)</f>
        <v>0</v>
      </c>
      <c r="T583" s="254">
        <f t="shared" si="157"/>
        <v>1098.9000000000001</v>
      </c>
      <c r="U583" s="254">
        <f t="shared" si="158"/>
        <v>1098.8999999999999</v>
      </c>
      <c r="V583" s="252">
        <f t="shared" si="159"/>
        <v>-638460.90000000701</v>
      </c>
      <c r="W583" s="255">
        <f t="shared" si="160"/>
        <v>-581.00000000000637</v>
      </c>
      <c r="X583" s="256" t="str">
        <f t="shared" si="164"/>
        <v/>
      </c>
      <c r="Y583" s="256" t="str">
        <f t="shared" si="165"/>
        <v/>
      </c>
      <c r="Z583" s="224" t="str">
        <f>IF(IFERROR(INDEX('tuot-rehukirjanpito'!I:I,MATCH(A583,'tuot-rehukirjanpito'!G:G,0)),)=0,"",INDEX('tuot-rehukirjanpito'!I:I,MATCH(A583,'tuot-rehukirjanpito'!G:G,0)))</f>
        <v/>
      </c>
      <c r="AA583" s="224">
        <f>SUMIFS('tuot-INFO'!$K$10:$K$115,'tuot-INFO'!$A$10:$A$115,'tuot-PVÄ'!B583)</f>
        <v>0</v>
      </c>
      <c r="AB583" s="224">
        <f>SUMIFS('rehu-vesi-INFO'!$R:$R,'rehu-vesi-INFO'!$A:$A,'tuot-PVÄ'!B583)</f>
        <v>1746</v>
      </c>
      <c r="AC583" s="224">
        <f>SUMIFS('rehu-vesi-INFO'!$S:$S,'rehu-vesi-INFO'!$A:$A,'tuot-PVÄ'!B583)</f>
        <v>1853</v>
      </c>
      <c r="AD583" s="224">
        <f t="shared" si="167"/>
        <v>107</v>
      </c>
      <c r="AE583" s="224">
        <f t="shared" si="168"/>
        <v>0</v>
      </c>
      <c r="AF583" s="224">
        <f t="shared" si="169"/>
        <v>174.6</v>
      </c>
      <c r="AG583" s="224">
        <f t="shared" si="170"/>
        <v>10.7</v>
      </c>
      <c r="AH583" s="257">
        <f t="shared" si="172"/>
        <v>0</v>
      </c>
      <c r="AI583" s="258">
        <f t="shared" si="173"/>
        <v>0</v>
      </c>
      <c r="AJ583" s="55">
        <f>SUMIFS('tuot-INFO'!W:W,'tuot-INFO'!$A:$A,'tuot-PVÄ'!B583)</f>
        <v>0</v>
      </c>
      <c r="AK583" s="55">
        <f>SUMIFS('tuot-INFO'!X:X,'tuot-INFO'!$A:$A,'tuot-PVÄ'!B583)</f>
        <v>0</v>
      </c>
    </row>
    <row r="584" spans="1:37" x14ac:dyDescent="0.25">
      <c r="A584" s="169">
        <f t="shared" si="171"/>
        <v>43070</v>
      </c>
      <c r="B584" s="23">
        <f>ROUNDUP((A584-Yleistiedot!$B$4)/7,0)</f>
        <v>100</v>
      </c>
      <c r="C584" s="16"/>
      <c r="D584" s="25"/>
      <c r="E584" s="25"/>
      <c r="F584" s="25"/>
      <c r="G584" s="25"/>
      <c r="H584" s="25"/>
      <c r="I584" s="65">
        <f t="shared" si="166"/>
        <v>0</v>
      </c>
      <c r="J584" s="26"/>
      <c r="K584" s="25"/>
      <c r="L584" s="16"/>
      <c r="M584" s="16"/>
      <c r="N584" s="25"/>
      <c r="O584" s="30"/>
      <c r="P584" s="252">
        <f t="shared" si="161"/>
        <v>9990</v>
      </c>
      <c r="Q584" s="253">
        <f t="shared" si="162"/>
        <v>0</v>
      </c>
      <c r="R584" s="253">
        <f t="shared" si="163"/>
        <v>0</v>
      </c>
      <c r="S584" s="251">
        <f>SUMIFS('tuot-rehukirjanpito'!D:D,'tuot-rehukirjanpito'!A:A,A584)</f>
        <v>0</v>
      </c>
      <c r="T584" s="254">
        <f t="shared" ref="T584:T647" si="174">IF(L584&gt;0,P584*L584/1000,T583)</f>
        <v>1098.9000000000001</v>
      </c>
      <c r="U584" s="254">
        <f t="shared" ref="U584:U647" si="175">IFERROR(AVERAGEIF(T578:T584,"&lt;&gt;0"),0)</f>
        <v>1098.8999999999999</v>
      </c>
      <c r="V584" s="252">
        <f t="shared" ref="V584:V647" si="176">V583+S584-T584</f>
        <v>-639559.80000000703</v>
      </c>
      <c r="W584" s="255">
        <f t="shared" ref="W584:W647" si="177">IFERROR(V584/T584,"")</f>
        <v>-582.00000000000637</v>
      </c>
      <c r="X584" s="256" t="str">
        <f t="shared" si="164"/>
        <v/>
      </c>
      <c r="Y584" s="256" t="str">
        <f t="shared" si="165"/>
        <v/>
      </c>
      <c r="Z584" s="224" t="str">
        <f>IF(IFERROR(INDEX('tuot-rehukirjanpito'!I:I,MATCH(A584,'tuot-rehukirjanpito'!G:G,0)),)=0,"",INDEX('tuot-rehukirjanpito'!I:I,MATCH(A584,'tuot-rehukirjanpito'!G:G,0)))</f>
        <v/>
      </c>
      <c r="AA584" s="224">
        <f>SUMIFS('tuot-INFO'!$K$10:$K$115,'tuot-INFO'!$A$10:$A$115,'tuot-PVÄ'!B584)</f>
        <v>0</v>
      </c>
      <c r="AB584" s="224">
        <f>SUMIFS('rehu-vesi-INFO'!$R:$R,'rehu-vesi-INFO'!$A:$A,'tuot-PVÄ'!B584)</f>
        <v>1746</v>
      </c>
      <c r="AC584" s="224">
        <f>SUMIFS('rehu-vesi-INFO'!$S:$S,'rehu-vesi-INFO'!$A:$A,'tuot-PVÄ'!B584)</f>
        <v>1853</v>
      </c>
      <c r="AD584" s="224">
        <f t="shared" si="167"/>
        <v>107</v>
      </c>
      <c r="AE584" s="224">
        <f t="shared" si="168"/>
        <v>0</v>
      </c>
      <c r="AF584" s="224">
        <f t="shared" si="169"/>
        <v>174.6</v>
      </c>
      <c r="AG584" s="224">
        <f t="shared" si="170"/>
        <v>10.7</v>
      </c>
      <c r="AH584" s="257">
        <f t="shared" si="172"/>
        <v>0</v>
      </c>
      <c r="AI584" s="258">
        <f t="shared" si="173"/>
        <v>0</v>
      </c>
      <c r="AJ584" s="55">
        <f>SUMIFS('tuot-INFO'!W:W,'tuot-INFO'!$A:$A,'tuot-PVÄ'!B584)</f>
        <v>0</v>
      </c>
      <c r="AK584" s="55">
        <f>SUMIFS('tuot-INFO'!X:X,'tuot-INFO'!$A:$A,'tuot-PVÄ'!B584)</f>
        <v>0</v>
      </c>
    </row>
    <row r="585" spans="1:37" x14ac:dyDescent="0.25">
      <c r="A585" s="169">
        <f t="shared" si="171"/>
        <v>43071</v>
      </c>
      <c r="B585" s="23">
        <f>ROUNDUP((A585-Yleistiedot!$B$4)/7,0)</f>
        <v>101</v>
      </c>
      <c r="C585" s="16"/>
      <c r="D585" s="25"/>
      <c r="E585" s="25"/>
      <c r="F585" s="25"/>
      <c r="G585" s="25"/>
      <c r="H585" s="25"/>
      <c r="I585" s="65">
        <f t="shared" si="166"/>
        <v>0</v>
      </c>
      <c r="J585" s="26"/>
      <c r="K585" s="25"/>
      <c r="L585" s="16"/>
      <c r="M585" s="16"/>
      <c r="N585" s="25"/>
      <c r="O585" s="30"/>
      <c r="P585" s="252">
        <f t="shared" si="161"/>
        <v>9990</v>
      </c>
      <c r="Q585" s="253">
        <f t="shared" si="162"/>
        <v>0</v>
      </c>
      <c r="R585" s="253">
        <f t="shared" si="163"/>
        <v>0</v>
      </c>
      <c r="S585" s="251">
        <f>SUMIFS('tuot-rehukirjanpito'!D:D,'tuot-rehukirjanpito'!A:A,A585)</f>
        <v>0</v>
      </c>
      <c r="T585" s="254">
        <f t="shared" si="174"/>
        <v>1098.9000000000001</v>
      </c>
      <c r="U585" s="254">
        <f t="shared" si="175"/>
        <v>1098.8999999999999</v>
      </c>
      <c r="V585" s="252">
        <f t="shared" si="176"/>
        <v>-640658.70000000705</v>
      </c>
      <c r="W585" s="255">
        <f t="shared" si="177"/>
        <v>-583.00000000000637</v>
      </c>
      <c r="X585" s="256" t="str">
        <f t="shared" si="164"/>
        <v/>
      </c>
      <c r="Y585" s="256" t="str">
        <f t="shared" si="165"/>
        <v/>
      </c>
      <c r="Z585" s="224" t="str">
        <f>IF(IFERROR(INDEX('tuot-rehukirjanpito'!I:I,MATCH(A585,'tuot-rehukirjanpito'!G:G,0)),)=0,"",INDEX('tuot-rehukirjanpito'!I:I,MATCH(A585,'tuot-rehukirjanpito'!G:G,0)))</f>
        <v/>
      </c>
      <c r="AA585" s="224">
        <f>SUMIFS('tuot-INFO'!$K$10:$K$115,'tuot-INFO'!$A$10:$A$115,'tuot-PVÄ'!B585)</f>
        <v>0</v>
      </c>
      <c r="AB585" s="224">
        <f>SUMIFS('rehu-vesi-INFO'!$R:$R,'rehu-vesi-INFO'!$A:$A,'tuot-PVÄ'!B585)</f>
        <v>1746</v>
      </c>
      <c r="AC585" s="224">
        <f>SUMIFS('rehu-vesi-INFO'!$S:$S,'rehu-vesi-INFO'!$A:$A,'tuot-PVÄ'!B585)</f>
        <v>1853</v>
      </c>
      <c r="AD585" s="224">
        <f t="shared" si="167"/>
        <v>107</v>
      </c>
      <c r="AE585" s="224">
        <f t="shared" si="168"/>
        <v>0</v>
      </c>
      <c r="AF585" s="224">
        <f t="shared" si="169"/>
        <v>174.6</v>
      </c>
      <c r="AG585" s="224">
        <f t="shared" si="170"/>
        <v>10.7</v>
      </c>
      <c r="AH585" s="257">
        <f t="shared" si="172"/>
        <v>0</v>
      </c>
      <c r="AI585" s="258">
        <f t="shared" si="173"/>
        <v>0</v>
      </c>
      <c r="AJ585" s="55">
        <f>SUMIFS('tuot-INFO'!W:W,'tuot-INFO'!$A:$A,'tuot-PVÄ'!B585)</f>
        <v>0</v>
      </c>
      <c r="AK585" s="55">
        <f>SUMIFS('tuot-INFO'!X:X,'tuot-INFO'!$A:$A,'tuot-PVÄ'!B585)</f>
        <v>0</v>
      </c>
    </row>
    <row r="586" spans="1:37" x14ac:dyDescent="0.25">
      <c r="A586" s="169">
        <f t="shared" si="171"/>
        <v>43072</v>
      </c>
      <c r="B586" s="23">
        <f>ROUNDUP((A586-Yleistiedot!$B$4)/7,0)</f>
        <v>101</v>
      </c>
      <c r="C586" s="16"/>
      <c r="D586" s="25"/>
      <c r="E586" s="25"/>
      <c r="F586" s="25"/>
      <c r="G586" s="25"/>
      <c r="H586" s="25"/>
      <c r="I586" s="65">
        <f t="shared" si="166"/>
        <v>0</v>
      </c>
      <c r="J586" s="26"/>
      <c r="K586" s="25"/>
      <c r="L586" s="16"/>
      <c r="M586" s="16"/>
      <c r="N586" s="25"/>
      <c r="O586" s="30"/>
      <c r="P586" s="252">
        <f t="shared" si="161"/>
        <v>9990</v>
      </c>
      <c r="Q586" s="253">
        <f t="shared" si="162"/>
        <v>0</v>
      </c>
      <c r="R586" s="253">
        <f t="shared" si="163"/>
        <v>0</v>
      </c>
      <c r="S586" s="251">
        <f>SUMIFS('tuot-rehukirjanpito'!D:D,'tuot-rehukirjanpito'!A:A,A586)</f>
        <v>0</v>
      </c>
      <c r="T586" s="254">
        <f t="shared" si="174"/>
        <v>1098.9000000000001</v>
      </c>
      <c r="U586" s="254">
        <f t="shared" si="175"/>
        <v>1098.8999999999999</v>
      </c>
      <c r="V586" s="252">
        <f t="shared" si="176"/>
        <v>-641757.60000000708</v>
      </c>
      <c r="W586" s="255">
        <f t="shared" si="177"/>
        <v>-584.00000000000637</v>
      </c>
      <c r="X586" s="256" t="str">
        <f t="shared" si="164"/>
        <v/>
      </c>
      <c r="Y586" s="256" t="str">
        <f t="shared" si="165"/>
        <v/>
      </c>
      <c r="Z586" s="224" t="str">
        <f>IF(IFERROR(INDEX('tuot-rehukirjanpito'!I:I,MATCH(A586,'tuot-rehukirjanpito'!G:G,0)),)=0,"",INDEX('tuot-rehukirjanpito'!I:I,MATCH(A586,'tuot-rehukirjanpito'!G:G,0)))</f>
        <v/>
      </c>
      <c r="AA586" s="224">
        <f>SUMIFS('tuot-INFO'!$K$10:$K$115,'tuot-INFO'!$A$10:$A$115,'tuot-PVÄ'!B586)</f>
        <v>0</v>
      </c>
      <c r="AB586" s="224">
        <f>SUMIFS('rehu-vesi-INFO'!$R:$R,'rehu-vesi-INFO'!$A:$A,'tuot-PVÄ'!B586)</f>
        <v>1746</v>
      </c>
      <c r="AC586" s="224">
        <f>SUMIFS('rehu-vesi-INFO'!$S:$S,'rehu-vesi-INFO'!$A:$A,'tuot-PVÄ'!B586)</f>
        <v>1853</v>
      </c>
      <c r="AD586" s="224">
        <f t="shared" si="167"/>
        <v>107</v>
      </c>
      <c r="AE586" s="224">
        <f t="shared" si="168"/>
        <v>0</v>
      </c>
      <c r="AF586" s="224">
        <f t="shared" si="169"/>
        <v>174.6</v>
      </c>
      <c r="AG586" s="224">
        <f t="shared" si="170"/>
        <v>10.7</v>
      </c>
      <c r="AH586" s="257">
        <f t="shared" si="172"/>
        <v>0</v>
      </c>
      <c r="AI586" s="258">
        <f t="shared" si="173"/>
        <v>0</v>
      </c>
      <c r="AJ586" s="55">
        <f>SUMIFS('tuot-INFO'!W:W,'tuot-INFO'!$A:$A,'tuot-PVÄ'!B586)</f>
        <v>0</v>
      </c>
      <c r="AK586" s="55">
        <f>SUMIFS('tuot-INFO'!X:X,'tuot-INFO'!$A:$A,'tuot-PVÄ'!B586)</f>
        <v>0</v>
      </c>
    </row>
    <row r="587" spans="1:37" x14ac:dyDescent="0.25">
      <c r="A587" s="169">
        <f t="shared" si="171"/>
        <v>43073</v>
      </c>
      <c r="B587" s="23">
        <f>ROUNDUP((A587-Yleistiedot!$B$4)/7,0)</f>
        <v>101</v>
      </c>
      <c r="C587" s="16"/>
      <c r="D587" s="25"/>
      <c r="E587" s="25"/>
      <c r="F587" s="25"/>
      <c r="G587" s="25"/>
      <c r="H587" s="25"/>
      <c r="I587" s="65">
        <f t="shared" si="166"/>
        <v>0</v>
      </c>
      <c r="J587" s="26"/>
      <c r="K587" s="25"/>
      <c r="L587" s="16"/>
      <c r="M587" s="16"/>
      <c r="N587" s="25"/>
      <c r="O587" s="30"/>
      <c r="P587" s="252">
        <f t="shared" si="161"/>
        <v>9990</v>
      </c>
      <c r="Q587" s="253">
        <f t="shared" si="162"/>
        <v>0</v>
      </c>
      <c r="R587" s="253">
        <f t="shared" si="163"/>
        <v>0</v>
      </c>
      <c r="S587" s="251">
        <f>SUMIFS('tuot-rehukirjanpito'!D:D,'tuot-rehukirjanpito'!A:A,A587)</f>
        <v>0</v>
      </c>
      <c r="T587" s="254">
        <f t="shared" si="174"/>
        <v>1098.9000000000001</v>
      </c>
      <c r="U587" s="254">
        <f t="shared" si="175"/>
        <v>1098.8999999999999</v>
      </c>
      <c r="V587" s="252">
        <f t="shared" si="176"/>
        <v>-642856.5000000071</v>
      </c>
      <c r="W587" s="255">
        <f t="shared" si="177"/>
        <v>-585.00000000000637</v>
      </c>
      <c r="X587" s="256" t="str">
        <f t="shared" si="164"/>
        <v/>
      </c>
      <c r="Y587" s="256" t="str">
        <f t="shared" si="165"/>
        <v/>
      </c>
      <c r="Z587" s="224" t="str">
        <f>IF(IFERROR(INDEX('tuot-rehukirjanpito'!I:I,MATCH(A587,'tuot-rehukirjanpito'!G:G,0)),)=0,"",INDEX('tuot-rehukirjanpito'!I:I,MATCH(A587,'tuot-rehukirjanpito'!G:G,0)))</f>
        <v/>
      </c>
      <c r="AA587" s="224">
        <f>SUMIFS('tuot-INFO'!$K$10:$K$115,'tuot-INFO'!$A$10:$A$115,'tuot-PVÄ'!B587)</f>
        <v>0</v>
      </c>
      <c r="AB587" s="224">
        <f>SUMIFS('rehu-vesi-INFO'!$R:$R,'rehu-vesi-INFO'!$A:$A,'tuot-PVÄ'!B587)</f>
        <v>1746</v>
      </c>
      <c r="AC587" s="224">
        <f>SUMIFS('rehu-vesi-INFO'!$S:$S,'rehu-vesi-INFO'!$A:$A,'tuot-PVÄ'!B587)</f>
        <v>1853</v>
      </c>
      <c r="AD587" s="224">
        <f t="shared" si="167"/>
        <v>107</v>
      </c>
      <c r="AE587" s="224">
        <f t="shared" si="168"/>
        <v>0</v>
      </c>
      <c r="AF587" s="224">
        <f t="shared" si="169"/>
        <v>174.6</v>
      </c>
      <c r="AG587" s="224">
        <f t="shared" si="170"/>
        <v>10.7</v>
      </c>
      <c r="AH587" s="257">
        <f t="shared" si="172"/>
        <v>0</v>
      </c>
      <c r="AI587" s="258">
        <f t="shared" si="173"/>
        <v>0</v>
      </c>
      <c r="AJ587" s="55">
        <f>SUMIFS('tuot-INFO'!W:W,'tuot-INFO'!$A:$A,'tuot-PVÄ'!B587)</f>
        <v>0</v>
      </c>
      <c r="AK587" s="55">
        <f>SUMIFS('tuot-INFO'!X:X,'tuot-INFO'!$A:$A,'tuot-PVÄ'!B587)</f>
        <v>0</v>
      </c>
    </row>
    <row r="588" spans="1:37" x14ac:dyDescent="0.25">
      <c r="A588" s="169">
        <f t="shared" si="171"/>
        <v>43074</v>
      </c>
      <c r="B588" s="23">
        <f>ROUNDUP((A588-Yleistiedot!$B$4)/7,0)</f>
        <v>101</v>
      </c>
      <c r="C588" s="16"/>
      <c r="D588" s="25"/>
      <c r="E588" s="25"/>
      <c r="F588" s="25"/>
      <c r="G588" s="25"/>
      <c r="H588" s="25"/>
      <c r="I588" s="65">
        <f t="shared" si="166"/>
        <v>0</v>
      </c>
      <c r="J588" s="26"/>
      <c r="K588" s="25"/>
      <c r="L588" s="16"/>
      <c r="M588" s="16"/>
      <c r="N588" s="25"/>
      <c r="O588" s="30"/>
      <c r="P588" s="252">
        <f t="shared" si="161"/>
        <v>9990</v>
      </c>
      <c r="Q588" s="253">
        <f t="shared" si="162"/>
        <v>0</v>
      </c>
      <c r="R588" s="253">
        <f t="shared" si="163"/>
        <v>0</v>
      </c>
      <c r="S588" s="251">
        <f>SUMIFS('tuot-rehukirjanpito'!D:D,'tuot-rehukirjanpito'!A:A,A588)</f>
        <v>0</v>
      </c>
      <c r="T588" s="254">
        <f t="shared" si="174"/>
        <v>1098.9000000000001</v>
      </c>
      <c r="U588" s="254">
        <f t="shared" si="175"/>
        <v>1098.8999999999999</v>
      </c>
      <c r="V588" s="252">
        <f t="shared" si="176"/>
        <v>-643955.40000000712</v>
      </c>
      <c r="W588" s="255">
        <f t="shared" si="177"/>
        <v>-586.00000000000648</v>
      </c>
      <c r="X588" s="256" t="str">
        <f t="shared" si="164"/>
        <v/>
      </c>
      <c r="Y588" s="256" t="str">
        <f t="shared" si="165"/>
        <v/>
      </c>
      <c r="Z588" s="224" t="str">
        <f>IF(IFERROR(INDEX('tuot-rehukirjanpito'!I:I,MATCH(A588,'tuot-rehukirjanpito'!G:G,0)),)=0,"",INDEX('tuot-rehukirjanpito'!I:I,MATCH(A588,'tuot-rehukirjanpito'!G:G,0)))</f>
        <v/>
      </c>
      <c r="AA588" s="224">
        <f>SUMIFS('tuot-INFO'!$K$10:$K$115,'tuot-INFO'!$A$10:$A$115,'tuot-PVÄ'!B588)</f>
        <v>0</v>
      </c>
      <c r="AB588" s="224">
        <f>SUMIFS('rehu-vesi-INFO'!$R:$R,'rehu-vesi-INFO'!$A:$A,'tuot-PVÄ'!B588)</f>
        <v>1746</v>
      </c>
      <c r="AC588" s="224">
        <f>SUMIFS('rehu-vesi-INFO'!$S:$S,'rehu-vesi-INFO'!$A:$A,'tuot-PVÄ'!B588)</f>
        <v>1853</v>
      </c>
      <c r="AD588" s="224">
        <f t="shared" si="167"/>
        <v>107</v>
      </c>
      <c r="AE588" s="224">
        <f t="shared" si="168"/>
        <v>0</v>
      </c>
      <c r="AF588" s="224">
        <f t="shared" si="169"/>
        <v>174.6</v>
      </c>
      <c r="AG588" s="224">
        <f t="shared" si="170"/>
        <v>10.7</v>
      </c>
      <c r="AH588" s="257">
        <f t="shared" si="172"/>
        <v>0</v>
      </c>
      <c r="AI588" s="258">
        <f t="shared" si="173"/>
        <v>0</v>
      </c>
      <c r="AJ588" s="55">
        <f>SUMIFS('tuot-INFO'!W:W,'tuot-INFO'!$A:$A,'tuot-PVÄ'!B588)</f>
        <v>0</v>
      </c>
      <c r="AK588" s="55">
        <f>SUMIFS('tuot-INFO'!X:X,'tuot-INFO'!$A:$A,'tuot-PVÄ'!B588)</f>
        <v>0</v>
      </c>
    </row>
    <row r="589" spans="1:37" x14ac:dyDescent="0.25">
      <c r="A589" s="169">
        <f t="shared" si="171"/>
        <v>43075</v>
      </c>
      <c r="B589" s="23">
        <f>ROUNDUP((A589-Yleistiedot!$B$4)/7,0)</f>
        <v>101</v>
      </c>
      <c r="C589" s="16"/>
      <c r="D589" s="25"/>
      <c r="E589" s="25"/>
      <c r="F589" s="25"/>
      <c r="G589" s="25"/>
      <c r="H589" s="25"/>
      <c r="I589" s="65">
        <f t="shared" si="166"/>
        <v>0</v>
      </c>
      <c r="J589" s="26"/>
      <c r="K589" s="25"/>
      <c r="L589" s="16"/>
      <c r="M589" s="16"/>
      <c r="N589" s="25"/>
      <c r="O589" s="30"/>
      <c r="P589" s="252">
        <f t="shared" si="161"/>
        <v>9990</v>
      </c>
      <c r="Q589" s="253">
        <f t="shared" si="162"/>
        <v>0</v>
      </c>
      <c r="R589" s="253">
        <f t="shared" si="163"/>
        <v>0</v>
      </c>
      <c r="S589" s="251">
        <f>SUMIFS('tuot-rehukirjanpito'!D:D,'tuot-rehukirjanpito'!A:A,A589)</f>
        <v>0</v>
      </c>
      <c r="T589" s="254">
        <f t="shared" si="174"/>
        <v>1098.9000000000001</v>
      </c>
      <c r="U589" s="254">
        <f t="shared" si="175"/>
        <v>1098.8999999999999</v>
      </c>
      <c r="V589" s="252">
        <f t="shared" si="176"/>
        <v>-645054.30000000715</v>
      </c>
      <c r="W589" s="255">
        <f t="shared" si="177"/>
        <v>-587.00000000000648</v>
      </c>
      <c r="X589" s="256" t="str">
        <f t="shared" si="164"/>
        <v/>
      </c>
      <c r="Y589" s="256" t="str">
        <f t="shared" si="165"/>
        <v/>
      </c>
      <c r="Z589" s="224" t="str">
        <f>IF(IFERROR(INDEX('tuot-rehukirjanpito'!I:I,MATCH(A589,'tuot-rehukirjanpito'!G:G,0)),)=0,"",INDEX('tuot-rehukirjanpito'!I:I,MATCH(A589,'tuot-rehukirjanpito'!G:G,0)))</f>
        <v/>
      </c>
      <c r="AA589" s="224">
        <f>SUMIFS('tuot-INFO'!$K$10:$K$115,'tuot-INFO'!$A$10:$A$115,'tuot-PVÄ'!B589)</f>
        <v>0</v>
      </c>
      <c r="AB589" s="224">
        <f>SUMIFS('rehu-vesi-INFO'!$R:$R,'rehu-vesi-INFO'!$A:$A,'tuot-PVÄ'!B589)</f>
        <v>1746</v>
      </c>
      <c r="AC589" s="224">
        <f>SUMIFS('rehu-vesi-INFO'!$S:$S,'rehu-vesi-INFO'!$A:$A,'tuot-PVÄ'!B589)</f>
        <v>1853</v>
      </c>
      <c r="AD589" s="224">
        <f t="shared" si="167"/>
        <v>107</v>
      </c>
      <c r="AE589" s="224">
        <f t="shared" si="168"/>
        <v>0</v>
      </c>
      <c r="AF589" s="224">
        <f t="shared" si="169"/>
        <v>174.6</v>
      </c>
      <c r="AG589" s="224">
        <f t="shared" si="170"/>
        <v>10.7</v>
      </c>
      <c r="AH589" s="257">
        <f t="shared" si="172"/>
        <v>0</v>
      </c>
      <c r="AI589" s="258">
        <f t="shared" si="173"/>
        <v>0</v>
      </c>
      <c r="AJ589" s="55">
        <f>SUMIFS('tuot-INFO'!W:W,'tuot-INFO'!$A:$A,'tuot-PVÄ'!B589)</f>
        <v>0</v>
      </c>
      <c r="AK589" s="55">
        <f>SUMIFS('tuot-INFO'!X:X,'tuot-INFO'!$A:$A,'tuot-PVÄ'!B589)</f>
        <v>0</v>
      </c>
    </row>
    <row r="590" spans="1:37" x14ac:dyDescent="0.25">
      <c r="A590" s="169">
        <f t="shared" si="171"/>
        <v>43076</v>
      </c>
      <c r="B590" s="23">
        <f>ROUNDUP((A590-Yleistiedot!$B$4)/7,0)</f>
        <v>101</v>
      </c>
      <c r="C590" s="16"/>
      <c r="D590" s="25"/>
      <c r="E590" s="25"/>
      <c r="F590" s="25"/>
      <c r="G590" s="25"/>
      <c r="H590" s="25"/>
      <c r="I590" s="65">
        <f t="shared" si="166"/>
        <v>0</v>
      </c>
      <c r="J590" s="26"/>
      <c r="K590" s="25"/>
      <c r="L590" s="16"/>
      <c r="M590" s="16"/>
      <c r="N590" s="25"/>
      <c r="O590" s="30"/>
      <c r="P590" s="252">
        <f t="shared" si="161"/>
        <v>9990</v>
      </c>
      <c r="Q590" s="253">
        <f t="shared" si="162"/>
        <v>0</v>
      </c>
      <c r="R590" s="253">
        <f t="shared" si="163"/>
        <v>0</v>
      </c>
      <c r="S590" s="251">
        <f>SUMIFS('tuot-rehukirjanpito'!D:D,'tuot-rehukirjanpito'!A:A,A590)</f>
        <v>0</v>
      </c>
      <c r="T590" s="254">
        <f t="shared" si="174"/>
        <v>1098.9000000000001</v>
      </c>
      <c r="U590" s="254">
        <f t="shared" si="175"/>
        <v>1098.8999999999999</v>
      </c>
      <c r="V590" s="252">
        <f t="shared" si="176"/>
        <v>-646153.20000000717</v>
      </c>
      <c r="W590" s="255">
        <f t="shared" si="177"/>
        <v>-588.00000000000648</v>
      </c>
      <c r="X590" s="256" t="str">
        <f t="shared" si="164"/>
        <v/>
      </c>
      <c r="Y590" s="256" t="str">
        <f t="shared" si="165"/>
        <v/>
      </c>
      <c r="Z590" s="224" t="str">
        <f>IF(IFERROR(INDEX('tuot-rehukirjanpito'!I:I,MATCH(A590,'tuot-rehukirjanpito'!G:G,0)),)=0,"",INDEX('tuot-rehukirjanpito'!I:I,MATCH(A590,'tuot-rehukirjanpito'!G:G,0)))</f>
        <v/>
      </c>
      <c r="AA590" s="224">
        <f>SUMIFS('tuot-INFO'!$K$10:$K$115,'tuot-INFO'!$A$10:$A$115,'tuot-PVÄ'!B590)</f>
        <v>0</v>
      </c>
      <c r="AB590" s="224">
        <f>SUMIFS('rehu-vesi-INFO'!$R:$R,'rehu-vesi-INFO'!$A:$A,'tuot-PVÄ'!B590)</f>
        <v>1746</v>
      </c>
      <c r="AC590" s="224">
        <f>SUMIFS('rehu-vesi-INFO'!$S:$S,'rehu-vesi-INFO'!$A:$A,'tuot-PVÄ'!B590)</f>
        <v>1853</v>
      </c>
      <c r="AD590" s="224">
        <f t="shared" si="167"/>
        <v>107</v>
      </c>
      <c r="AE590" s="224">
        <f t="shared" si="168"/>
        <v>0</v>
      </c>
      <c r="AF590" s="224">
        <f t="shared" si="169"/>
        <v>174.6</v>
      </c>
      <c r="AG590" s="224">
        <f t="shared" si="170"/>
        <v>10.7</v>
      </c>
      <c r="AH590" s="257">
        <f t="shared" si="172"/>
        <v>0</v>
      </c>
      <c r="AI590" s="258">
        <f t="shared" si="173"/>
        <v>0</v>
      </c>
      <c r="AJ590" s="55">
        <f>SUMIFS('tuot-INFO'!W:W,'tuot-INFO'!$A:$A,'tuot-PVÄ'!B590)</f>
        <v>0</v>
      </c>
      <c r="AK590" s="55">
        <f>SUMIFS('tuot-INFO'!X:X,'tuot-INFO'!$A:$A,'tuot-PVÄ'!B590)</f>
        <v>0</v>
      </c>
    </row>
    <row r="591" spans="1:37" x14ac:dyDescent="0.25">
      <c r="A591" s="169">
        <f t="shared" si="171"/>
        <v>43077</v>
      </c>
      <c r="B591" s="23">
        <f>ROUNDUP((A591-Yleistiedot!$B$4)/7,0)</f>
        <v>101</v>
      </c>
      <c r="C591" s="16"/>
      <c r="D591" s="25"/>
      <c r="E591" s="25"/>
      <c r="F591" s="25"/>
      <c r="G591" s="25"/>
      <c r="H591" s="25"/>
      <c r="I591" s="65">
        <f t="shared" si="166"/>
        <v>0</v>
      </c>
      <c r="J591" s="26"/>
      <c r="K591" s="25"/>
      <c r="L591" s="16"/>
      <c r="M591" s="16"/>
      <c r="N591" s="25"/>
      <c r="O591" s="30"/>
      <c r="P591" s="252">
        <f t="shared" si="161"/>
        <v>9990</v>
      </c>
      <c r="Q591" s="253">
        <f t="shared" si="162"/>
        <v>0</v>
      </c>
      <c r="R591" s="253">
        <f t="shared" si="163"/>
        <v>0</v>
      </c>
      <c r="S591" s="251">
        <f>SUMIFS('tuot-rehukirjanpito'!D:D,'tuot-rehukirjanpito'!A:A,A591)</f>
        <v>0</v>
      </c>
      <c r="T591" s="254">
        <f t="shared" si="174"/>
        <v>1098.9000000000001</v>
      </c>
      <c r="U591" s="254">
        <f t="shared" si="175"/>
        <v>1098.8999999999999</v>
      </c>
      <c r="V591" s="252">
        <f t="shared" si="176"/>
        <v>-647252.10000000719</v>
      </c>
      <c r="W591" s="255">
        <f t="shared" si="177"/>
        <v>-589.00000000000648</v>
      </c>
      <c r="X591" s="256" t="str">
        <f t="shared" si="164"/>
        <v/>
      </c>
      <c r="Y591" s="256" t="str">
        <f t="shared" si="165"/>
        <v/>
      </c>
      <c r="Z591" s="224" t="str">
        <f>IF(IFERROR(INDEX('tuot-rehukirjanpito'!I:I,MATCH(A591,'tuot-rehukirjanpito'!G:G,0)),)=0,"",INDEX('tuot-rehukirjanpito'!I:I,MATCH(A591,'tuot-rehukirjanpito'!G:G,0)))</f>
        <v/>
      </c>
      <c r="AA591" s="224">
        <f>SUMIFS('tuot-INFO'!$K$10:$K$115,'tuot-INFO'!$A$10:$A$115,'tuot-PVÄ'!B591)</f>
        <v>0</v>
      </c>
      <c r="AB591" s="224">
        <f>SUMIFS('rehu-vesi-INFO'!$R:$R,'rehu-vesi-INFO'!$A:$A,'tuot-PVÄ'!B591)</f>
        <v>1746</v>
      </c>
      <c r="AC591" s="224">
        <f>SUMIFS('rehu-vesi-INFO'!$S:$S,'rehu-vesi-INFO'!$A:$A,'tuot-PVÄ'!B591)</f>
        <v>1853</v>
      </c>
      <c r="AD591" s="224">
        <f t="shared" si="167"/>
        <v>107</v>
      </c>
      <c r="AE591" s="224">
        <f t="shared" si="168"/>
        <v>0</v>
      </c>
      <c r="AF591" s="224">
        <f t="shared" si="169"/>
        <v>174.6</v>
      </c>
      <c r="AG591" s="224">
        <f t="shared" si="170"/>
        <v>10.7</v>
      </c>
      <c r="AH591" s="257">
        <f t="shared" si="172"/>
        <v>0</v>
      </c>
      <c r="AI591" s="258">
        <f t="shared" si="173"/>
        <v>0</v>
      </c>
      <c r="AJ591" s="55">
        <f>SUMIFS('tuot-INFO'!W:W,'tuot-INFO'!$A:$A,'tuot-PVÄ'!B591)</f>
        <v>0</v>
      </c>
      <c r="AK591" s="55">
        <f>SUMIFS('tuot-INFO'!X:X,'tuot-INFO'!$A:$A,'tuot-PVÄ'!B591)</f>
        <v>0</v>
      </c>
    </row>
    <row r="592" spans="1:37" x14ac:dyDescent="0.25">
      <c r="A592" s="169">
        <f t="shared" si="171"/>
        <v>43078</v>
      </c>
      <c r="B592" s="23">
        <f>ROUNDUP((A592-Yleistiedot!$B$4)/7,0)</f>
        <v>102</v>
      </c>
      <c r="C592" s="16"/>
      <c r="D592" s="25"/>
      <c r="E592" s="25"/>
      <c r="F592" s="25"/>
      <c r="G592" s="25"/>
      <c r="H592" s="25"/>
      <c r="I592" s="65">
        <f t="shared" si="166"/>
        <v>0</v>
      </c>
      <c r="J592" s="26"/>
      <c r="K592" s="25"/>
      <c r="L592" s="16"/>
      <c r="M592" s="16"/>
      <c r="N592" s="25"/>
      <c r="O592" s="30"/>
      <c r="P592" s="252">
        <f t="shared" si="161"/>
        <v>9990</v>
      </c>
      <c r="Q592" s="253">
        <f t="shared" si="162"/>
        <v>0</v>
      </c>
      <c r="R592" s="253">
        <f t="shared" si="163"/>
        <v>0</v>
      </c>
      <c r="S592" s="251">
        <f>SUMIFS('tuot-rehukirjanpito'!D:D,'tuot-rehukirjanpito'!A:A,A592)</f>
        <v>0</v>
      </c>
      <c r="T592" s="254">
        <f t="shared" si="174"/>
        <v>1098.9000000000001</v>
      </c>
      <c r="U592" s="254">
        <f t="shared" si="175"/>
        <v>1098.8999999999999</v>
      </c>
      <c r="V592" s="252">
        <f t="shared" si="176"/>
        <v>-648351.00000000722</v>
      </c>
      <c r="W592" s="255">
        <f t="shared" si="177"/>
        <v>-590.00000000000648</v>
      </c>
      <c r="X592" s="256" t="str">
        <f t="shared" si="164"/>
        <v/>
      </c>
      <c r="Y592" s="256" t="str">
        <f t="shared" si="165"/>
        <v/>
      </c>
      <c r="Z592" s="224" t="str">
        <f>IF(IFERROR(INDEX('tuot-rehukirjanpito'!I:I,MATCH(A592,'tuot-rehukirjanpito'!G:G,0)),)=0,"",INDEX('tuot-rehukirjanpito'!I:I,MATCH(A592,'tuot-rehukirjanpito'!G:G,0)))</f>
        <v/>
      </c>
      <c r="AA592" s="224">
        <f>SUMIFS('tuot-INFO'!$K$10:$K$115,'tuot-INFO'!$A$10:$A$115,'tuot-PVÄ'!B592)</f>
        <v>0</v>
      </c>
      <c r="AB592" s="224">
        <f>SUMIFS('rehu-vesi-INFO'!$R:$R,'rehu-vesi-INFO'!$A:$A,'tuot-PVÄ'!B592)</f>
        <v>1746</v>
      </c>
      <c r="AC592" s="224">
        <f>SUMIFS('rehu-vesi-INFO'!$S:$S,'rehu-vesi-INFO'!$A:$A,'tuot-PVÄ'!B592)</f>
        <v>1853</v>
      </c>
      <c r="AD592" s="224">
        <f t="shared" si="167"/>
        <v>107</v>
      </c>
      <c r="AE592" s="224">
        <f t="shared" si="168"/>
        <v>0</v>
      </c>
      <c r="AF592" s="224">
        <f t="shared" si="169"/>
        <v>174.6</v>
      </c>
      <c r="AG592" s="224">
        <f t="shared" si="170"/>
        <v>10.7</v>
      </c>
      <c r="AH592" s="257">
        <f t="shared" si="172"/>
        <v>0</v>
      </c>
      <c r="AI592" s="258">
        <f t="shared" si="173"/>
        <v>0</v>
      </c>
      <c r="AJ592" s="55">
        <f>SUMIFS('tuot-INFO'!W:W,'tuot-INFO'!$A:$A,'tuot-PVÄ'!B592)</f>
        <v>0</v>
      </c>
      <c r="AK592" s="55">
        <f>SUMIFS('tuot-INFO'!X:X,'tuot-INFO'!$A:$A,'tuot-PVÄ'!B592)</f>
        <v>0</v>
      </c>
    </row>
    <row r="593" spans="1:37" x14ac:dyDescent="0.25">
      <c r="A593" s="169">
        <f t="shared" si="171"/>
        <v>43079</v>
      </c>
      <c r="B593" s="23">
        <f>ROUNDUP((A593-Yleistiedot!$B$4)/7,0)</f>
        <v>102</v>
      </c>
      <c r="C593" s="16"/>
      <c r="D593" s="25"/>
      <c r="E593" s="25"/>
      <c r="F593" s="25"/>
      <c r="G593" s="25"/>
      <c r="H593" s="25"/>
      <c r="I593" s="65">
        <f t="shared" si="166"/>
        <v>0</v>
      </c>
      <c r="J593" s="26"/>
      <c r="K593" s="25"/>
      <c r="L593" s="16"/>
      <c r="M593" s="16"/>
      <c r="N593" s="25"/>
      <c r="O593" s="30"/>
      <c r="P593" s="252">
        <f t="shared" si="161"/>
        <v>9990</v>
      </c>
      <c r="Q593" s="253">
        <f t="shared" si="162"/>
        <v>0</v>
      </c>
      <c r="R593" s="253">
        <f t="shared" si="163"/>
        <v>0</v>
      </c>
      <c r="S593" s="251">
        <f>SUMIFS('tuot-rehukirjanpito'!D:D,'tuot-rehukirjanpito'!A:A,A593)</f>
        <v>0</v>
      </c>
      <c r="T593" s="254">
        <f t="shared" si="174"/>
        <v>1098.9000000000001</v>
      </c>
      <c r="U593" s="254">
        <f t="shared" si="175"/>
        <v>1098.8999999999999</v>
      </c>
      <c r="V593" s="252">
        <f t="shared" si="176"/>
        <v>-649449.90000000724</v>
      </c>
      <c r="W593" s="255">
        <f t="shared" si="177"/>
        <v>-591.00000000000659</v>
      </c>
      <c r="X593" s="256" t="str">
        <f t="shared" si="164"/>
        <v/>
      </c>
      <c r="Y593" s="256" t="str">
        <f t="shared" si="165"/>
        <v/>
      </c>
      <c r="Z593" s="224" t="str">
        <f>IF(IFERROR(INDEX('tuot-rehukirjanpito'!I:I,MATCH(A593,'tuot-rehukirjanpito'!G:G,0)),)=0,"",INDEX('tuot-rehukirjanpito'!I:I,MATCH(A593,'tuot-rehukirjanpito'!G:G,0)))</f>
        <v/>
      </c>
      <c r="AA593" s="224">
        <f>SUMIFS('tuot-INFO'!$K$10:$K$115,'tuot-INFO'!$A$10:$A$115,'tuot-PVÄ'!B593)</f>
        <v>0</v>
      </c>
      <c r="AB593" s="224">
        <f>SUMIFS('rehu-vesi-INFO'!$R:$R,'rehu-vesi-INFO'!$A:$A,'tuot-PVÄ'!B593)</f>
        <v>1746</v>
      </c>
      <c r="AC593" s="224">
        <f>SUMIFS('rehu-vesi-INFO'!$S:$S,'rehu-vesi-INFO'!$A:$A,'tuot-PVÄ'!B593)</f>
        <v>1853</v>
      </c>
      <c r="AD593" s="224">
        <f t="shared" si="167"/>
        <v>107</v>
      </c>
      <c r="AE593" s="224">
        <f t="shared" si="168"/>
        <v>0</v>
      </c>
      <c r="AF593" s="224">
        <f t="shared" si="169"/>
        <v>174.6</v>
      </c>
      <c r="AG593" s="224">
        <f t="shared" si="170"/>
        <v>10.7</v>
      </c>
      <c r="AH593" s="257">
        <f t="shared" si="172"/>
        <v>0</v>
      </c>
      <c r="AI593" s="258">
        <f t="shared" si="173"/>
        <v>0</v>
      </c>
      <c r="AJ593" s="55">
        <f>SUMIFS('tuot-INFO'!W:W,'tuot-INFO'!$A:$A,'tuot-PVÄ'!B593)</f>
        <v>0</v>
      </c>
      <c r="AK593" s="55">
        <f>SUMIFS('tuot-INFO'!X:X,'tuot-INFO'!$A:$A,'tuot-PVÄ'!B593)</f>
        <v>0</v>
      </c>
    </row>
    <row r="594" spans="1:37" x14ac:dyDescent="0.25">
      <c r="A594" s="169">
        <f t="shared" si="171"/>
        <v>43080</v>
      </c>
      <c r="B594" s="23">
        <f>ROUNDUP((A594-Yleistiedot!$B$4)/7,0)</f>
        <v>102</v>
      </c>
      <c r="C594" s="16"/>
      <c r="D594" s="25"/>
      <c r="E594" s="25"/>
      <c r="F594" s="25"/>
      <c r="G594" s="25"/>
      <c r="H594" s="25"/>
      <c r="I594" s="65">
        <f t="shared" si="166"/>
        <v>0</v>
      </c>
      <c r="J594" s="26"/>
      <c r="K594" s="25"/>
      <c r="L594" s="16"/>
      <c r="M594" s="16"/>
      <c r="N594" s="25"/>
      <c r="O594" s="30"/>
      <c r="P594" s="252">
        <f t="shared" si="161"/>
        <v>9990</v>
      </c>
      <c r="Q594" s="253">
        <f t="shared" si="162"/>
        <v>0</v>
      </c>
      <c r="R594" s="253">
        <f t="shared" si="163"/>
        <v>0</v>
      </c>
      <c r="S594" s="251">
        <f>SUMIFS('tuot-rehukirjanpito'!D:D,'tuot-rehukirjanpito'!A:A,A594)</f>
        <v>0</v>
      </c>
      <c r="T594" s="254">
        <f t="shared" si="174"/>
        <v>1098.9000000000001</v>
      </c>
      <c r="U594" s="254">
        <f t="shared" si="175"/>
        <v>1098.8999999999999</v>
      </c>
      <c r="V594" s="252">
        <f t="shared" si="176"/>
        <v>-650548.80000000726</v>
      </c>
      <c r="W594" s="255">
        <f t="shared" si="177"/>
        <v>-592.00000000000659</v>
      </c>
      <c r="X594" s="256" t="str">
        <f t="shared" si="164"/>
        <v/>
      </c>
      <c r="Y594" s="256" t="str">
        <f t="shared" si="165"/>
        <v/>
      </c>
      <c r="Z594" s="224" t="str">
        <f>IF(IFERROR(INDEX('tuot-rehukirjanpito'!I:I,MATCH(A594,'tuot-rehukirjanpito'!G:G,0)),)=0,"",INDEX('tuot-rehukirjanpito'!I:I,MATCH(A594,'tuot-rehukirjanpito'!G:G,0)))</f>
        <v/>
      </c>
      <c r="AA594" s="224">
        <f>SUMIFS('tuot-INFO'!$K$10:$K$115,'tuot-INFO'!$A$10:$A$115,'tuot-PVÄ'!B594)</f>
        <v>0</v>
      </c>
      <c r="AB594" s="224">
        <f>SUMIFS('rehu-vesi-INFO'!$R:$R,'rehu-vesi-INFO'!$A:$A,'tuot-PVÄ'!B594)</f>
        <v>1746</v>
      </c>
      <c r="AC594" s="224">
        <f>SUMIFS('rehu-vesi-INFO'!$S:$S,'rehu-vesi-INFO'!$A:$A,'tuot-PVÄ'!B594)</f>
        <v>1853</v>
      </c>
      <c r="AD594" s="224">
        <f t="shared" si="167"/>
        <v>107</v>
      </c>
      <c r="AE594" s="224">
        <f t="shared" si="168"/>
        <v>0</v>
      </c>
      <c r="AF594" s="224">
        <f t="shared" si="169"/>
        <v>174.6</v>
      </c>
      <c r="AG594" s="224">
        <f t="shared" si="170"/>
        <v>10.7</v>
      </c>
      <c r="AH594" s="257">
        <f t="shared" si="172"/>
        <v>0</v>
      </c>
      <c r="AI594" s="258">
        <f t="shared" si="173"/>
        <v>0</v>
      </c>
      <c r="AJ594" s="55">
        <f>SUMIFS('tuot-INFO'!W:W,'tuot-INFO'!$A:$A,'tuot-PVÄ'!B594)</f>
        <v>0</v>
      </c>
      <c r="AK594" s="55">
        <f>SUMIFS('tuot-INFO'!X:X,'tuot-INFO'!$A:$A,'tuot-PVÄ'!B594)</f>
        <v>0</v>
      </c>
    </row>
    <row r="595" spans="1:37" x14ac:dyDescent="0.25">
      <c r="A595" s="169">
        <f t="shared" si="171"/>
        <v>43081</v>
      </c>
      <c r="B595" s="23">
        <f>ROUNDUP((A595-Yleistiedot!$B$4)/7,0)</f>
        <v>102</v>
      </c>
      <c r="C595" s="16"/>
      <c r="D595" s="25"/>
      <c r="E595" s="25"/>
      <c r="F595" s="25"/>
      <c r="G595" s="25"/>
      <c r="H595" s="25"/>
      <c r="I595" s="65">
        <f t="shared" si="166"/>
        <v>0</v>
      </c>
      <c r="J595" s="26"/>
      <c r="K595" s="25"/>
      <c r="L595" s="16"/>
      <c r="M595" s="16"/>
      <c r="N595" s="25"/>
      <c r="O595" s="30"/>
      <c r="P595" s="252">
        <f t="shared" ref="P595:P658" si="178">P594-C595</f>
        <v>9990</v>
      </c>
      <c r="Q595" s="253">
        <f t="shared" ref="Q595:Q658" si="179">D595/P595*100</f>
        <v>0</v>
      </c>
      <c r="R595" s="253">
        <f t="shared" ref="R595:R658" si="180">I595/P595*100</f>
        <v>0</v>
      </c>
      <c r="S595" s="251">
        <f>SUMIFS('tuot-rehukirjanpito'!D:D,'tuot-rehukirjanpito'!A:A,A595)</f>
        <v>0</v>
      </c>
      <c r="T595" s="254">
        <f t="shared" si="174"/>
        <v>1098.9000000000001</v>
      </c>
      <c r="U595" s="254">
        <f t="shared" si="175"/>
        <v>1098.8999999999999</v>
      </c>
      <c r="V595" s="252">
        <f t="shared" si="176"/>
        <v>-651647.70000000729</v>
      </c>
      <c r="W595" s="255">
        <f t="shared" si="177"/>
        <v>-593.00000000000659</v>
      </c>
      <c r="X595" s="256" t="str">
        <f t="shared" si="164"/>
        <v/>
      </c>
      <c r="Y595" s="256" t="str">
        <f t="shared" si="165"/>
        <v/>
      </c>
      <c r="Z595" s="224" t="str">
        <f>IF(IFERROR(INDEX('tuot-rehukirjanpito'!I:I,MATCH(A595,'tuot-rehukirjanpito'!G:G,0)),)=0,"",INDEX('tuot-rehukirjanpito'!I:I,MATCH(A595,'tuot-rehukirjanpito'!G:G,0)))</f>
        <v/>
      </c>
      <c r="AA595" s="224">
        <f>SUMIFS('tuot-INFO'!$K$10:$K$115,'tuot-INFO'!$A$10:$A$115,'tuot-PVÄ'!B595)</f>
        <v>0</v>
      </c>
      <c r="AB595" s="224">
        <f>SUMIFS('rehu-vesi-INFO'!$R:$R,'rehu-vesi-INFO'!$A:$A,'tuot-PVÄ'!B595)</f>
        <v>1746</v>
      </c>
      <c r="AC595" s="224">
        <f>SUMIFS('rehu-vesi-INFO'!$S:$S,'rehu-vesi-INFO'!$A:$A,'tuot-PVÄ'!B595)</f>
        <v>1853</v>
      </c>
      <c r="AD595" s="224">
        <f t="shared" si="167"/>
        <v>107</v>
      </c>
      <c r="AE595" s="224">
        <f t="shared" si="168"/>
        <v>0</v>
      </c>
      <c r="AF595" s="224">
        <f t="shared" si="169"/>
        <v>174.6</v>
      </c>
      <c r="AG595" s="224">
        <f t="shared" si="170"/>
        <v>10.7</v>
      </c>
      <c r="AH595" s="257">
        <f t="shared" si="172"/>
        <v>0</v>
      </c>
      <c r="AI595" s="258">
        <f t="shared" si="173"/>
        <v>0</v>
      </c>
      <c r="AJ595" s="55">
        <f>SUMIFS('tuot-INFO'!W:W,'tuot-INFO'!$A:$A,'tuot-PVÄ'!B595)</f>
        <v>0</v>
      </c>
      <c r="AK595" s="55">
        <f>SUMIFS('tuot-INFO'!X:X,'tuot-INFO'!$A:$A,'tuot-PVÄ'!B595)</f>
        <v>0</v>
      </c>
    </row>
    <row r="596" spans="1:37" x14ac:dyDescent="0.25">
      <c r="A596" s="169">
        <f t="shared" si="171"/>
        <v>43082</v>
      </c>
      <c r="B596" s="23">
        <f>ROUNDUP((A596-Yleistiedot!$B$4)/7,0)</f>
        <v>102</v>
      </c>
      <c r="C596" s="16"/>
      <c r="D596" s="25"/>
      <c r="E596" s="25"/>
      <c r="F596" s="25"/>
      <c r="G596" s="25"/>
      <c r="H596" s="25"/>
      <c r="I596" s="65">
        <f t="shared" si="166"/>
        <v>0</v>
      </c>
      <c r="J596" s="26"/>
      <c r="K596" s="25"/>
      <c r="L596" s="16"/>
      <c r="M596" s="16"/>
      <c r="N596" s="25"/>
      <c r="O596" s="30"/>
      <c r="P596" s="252">
        <f t="shared" si="178"/>
        <v>9990</v>
      </c>
      <c r="Q596" s="253">
        <f t="shared" si="179"/>
        <v>0</v>
      </c>
      <c r="R596" s="253">
        <f t="shared" si="180"/>
        <v>0</v>
      </c>
      <c r="S596" s="251">
        <f>SUMIFS('tuot-rehukirjanpito'!D:D,'tuot-rehukirjanpito'!A:A,A596)</f>
        <v>0</v>
      </c>
      <c r="T596" s="254">
        <f t="shared" si="174"/>
        <v>1098.9000000000001</v>
      </c>
      <c r="U596" s="254">
        <f t="shared" si="175"/>
        <v>1098.8999999999999</v>
      </c>
      <c r="V596" s="252">
        <f t="shared" si="176"/>
        <v>-652746.60000000731</v>
      </c>
      <c r="W596" s="255">
        <f t="shared" si="177"/>
        <v>-594.00000000000659</v>
      </c>
      <c r="X596" s="256" t="str">
        <f t="shared" si="164"/>
        <v/>
      </c>
      <c r="Y596" s="256" t="str">
        <f t="shared" si="165"/>
        <v/>
      </c>
      <c r="Z596" s="224" t="str">
        <f>IF(IFERROR(INDEX('tuot-rehukirjanpito'!I:I,MATCH(A596,'tuot-rehukirjanpito'!G:G,0)),)=0,"",INDEX('tuot-rehukirjanpito'!I:I,MATCH(A596,'tuot-rehukirjanpito'!G:G,0)))</f>
        <v/>
      </c>
      <c r="AA596" s="224">
        <f>SUMIFS('tuot-INFO'!$K$10:$K$115,'tuot-INFO'!$A$10:$A$115,'tuot-PVÄ'!B596)</f>
        <v>0</v>
      </c>
      <c r="AB596" s="224">
        <f>SUMIFS('rehu-vesi-INFO'!$R:$R,'rehu-vesi-INFO'!$A:$A,'tuot-PVÄ'!B596)</f>
        <v>1746</v>
      </c>
      <c r="AC596" s="224">
        <f>SUMIFS('rehu-vesi-INFO'!$S:$S,'rehu-vesi-INFO'!$A:$A,'tuot-PVÄ'!B596)</f>
        <v>1853</v>
      </c>
      <c r="AD596" s="224">
        <f t="shared" si="167"/>
        <v>107</v>
      </c>
      <c r="AE596" s="224">
        <f t="shared" si="168"/>
        <v>0</v>
      </c>
      <c r="AF596" s="224">
        <f t="shared" si="169"/>
        <v>174.6</v>
      </c>
      <c r="AG596" s="224">
        <f t="shared" si="170"/>
        <v>10.7</v>
      </c>
      <c r="AH596" s="257">
        <f t="shared" si="172"/>
        <v>0</v>
      </c>
      <c r="AI596" s="258">
        <f t="shared" si="173"/>
        <v>0</v>
      </c>
      <c r="AJ596" s="55">
        <f>SUMIFS('tuot-INFO'!W:W,'tuot-INFO'!$A:$A,'tuot-PVÄ'!B596)</f>
        <v>0</v>
      </c>
      <c r="AK596" s="55">
        <f>SUMIFS('tuot-INFO'!X:X,'tuot-INFO'!$A:$A,'tuot-PVÄ'!B596)</f>
        <v>0</v>
      </c>
    </row>
    <row r="597" spans="1:37" x14ac:dyDescent="0.25">
      <c r="A597" s="169">
        <f t="shared" si="171"/>
        <v>43083</v>
      </c>
      <c r="B597" s="23">
        <f>ROUNDUP((A597-Yleistiedot!$B$4)/7,0)</f>
        <v>102</v>
      </c>
      <c r="C597" s="16"/>
      <c r="D597" s="25"/>
      <c r="E597" s="25"/>
      <c r="F597" s="25"/>
      <c r="G597" s="25"/>
      <c r="H597" s="25"/>
      <c r="I597" s="65">
        <f t="shared" si="166"/>
        <v>0</v>
      </c>
      <c r="J597" s="26"/>
      <c r="K597" s="25"/>
      <c r="L597" s="16"/>
      <c r="M597" s="16"/>
      <c r="N597" s="25"/>
      <c r="O597" s="30"/>
      <c r="P597" s="252">
        <f t="shared" si="178"/>
        <v>9990</v>
      </c>
      <c r="Q597" s="253">
        <f t="shared" si="179"/>
        <v>0</v>
      </c>
      <c r="R597" s="253">
        <f t="shared" si="180"/>
        <v>0</v>
      </c>
      <c r="S597" s="251">
        <f>SUMIFS('tuot-rehukirjanpito'!D:D,'tuot-rehukirjanpito'!A:A,A597)</f>
        <v>0</v>
      </c>
      <c r="T597" s="254">
        <f t="shared" si="174"/>
        <v>1098.9000000000001</v>
      </c>
      <c r="U597" s="254">
        <f t="shared" si="175"/>
        <v>1098.8999999999999</v>
      </c>
      <c r="V597" s="252">
        <f t="shared" si="176"/>
        <v>-653845.50000000733</v>
      </c>
      <c r="W597" s="255">
        <f t="shared" si="177"/>
        <v>-595.00000000000659</v>
      </c>
      <c r="X597" s="256" t="str">
        <f t="shared" si="164"/>
        <v/>
      </c>
      <c r="Y597" s="256" t="str">
        <f t="shared" si="165"/>
        <v/>
      </c>
      <c r="Z597" s="224" t="str">
        <f>IF(IFERROR(INDEX('tuot-rehukirjanpito'!I:I,MATCH(A597,'tuot-rehukirjanpito'!G:G,0)),)=0,"",INDEX('tuot-rehukirjanpito'!I:I,MATCH(A597,'tuot-rehukirjanpito'!G:G,0)))</f>
        <v/>
      </c>
      <c r="AA597" s="224">
        <f>SUMIFS('tuot-INFO'!$K$10:$K$115,'tuot-INFO'!$A$10:$A$115,'tuot-PVÄ'!B597)</f>
        <v>0</v>
      </c>
      <c r="AB597" s="224">
        <f>SUMIFS('rehu-vesi-INFO'!$R:$R,'rehu-vesi-INFO'!$A:$A,'tuot-PVÄ'!B597)</f>
        <v>1746</v>
      </c>
      <c r="AC597" s="224">
        <f>SUMIFS('rehu-vesi-INFO'!$S:$S,'rehu-vesi-INFO'!$A:$A,'tuot-PVÄ'!B597)</f>
        <v>1853</v>
      </c>
      <c r="AD597" s="224">
        <f t="shared" si="167"/>
        <v>107</v>
      </c>
      <c r="AE597" s="224">
        <f t="shared" si="168"/>
        <v>0</v>
      </c>
      <c r="AF597" s="224">
        <f t="shared" si="169"/>
        <v>174.6</v>
      </c>
      <c r="AG597" s="224">
        <f t="shared" si="170"/>
        <v>10.7</v>
      </c>
      <c r="AH597" s="257">
        <f t="shared" si="172"/>
        <v>0</v>
      </c>
      <c r="AI597" s="258">
        <f t="shared" si="173"/>
        <v>0</v>
      </c>
      <c r="AJ597" s="55">
        <f>SUMIFS('tuot-INFO'!W:W,'tuot-INFO'!$A:$A,'tuot-PVÄ'!B597)</f>
        <v>0</v>
      </c>
      <c r="AK597" s="55">
        <f>SUMIFS('tuot-INFO'!X:X,'tuot-INFO'!$A:$A,'tuot-PVÄ'!B597)</f>
        <v>0</v>
      </c>
    </row>
    <row r="598" spans="1:37" x14ac:dyDescent="0.25">
      <c r="A598" s="169">
        <f t="shared" si="171"/>
        <v>43084</v>
      </c>
      <c r="B598" s="23">
        <f>ROUNDUP((A598-Yleistiedot!$B$4)/7,0)</f>
        <v>102</v>
      </c>
      <c r="C598" s="16"/>
      <c r="D598" s="25"/>
      <c r="E598" s="25"/>
      <c r="F598" s="25"/>
      <c r="G598" s="25"/>
      <c r="H598" s="25"/>
      <c r="I598" s="65">
        <f t="shared" si="166"/>
        <v>0</v>
      </c>
      <c r="J598" s="26"/>
      <c r="K598" s="25"/>
      <c r="L598" s="16"/>
      <c r="M598" s="16"/>
      <c r="N598" s="25"/>
      <c r="O598" s="30"/>
      <c r="P598" s="252">
        <f t="shared" si="178"/>
        <v>9990</v>
      </c>
      <c r="Q598" s="253">
        <f t="shared" si="179"/>
        <v>0</v>
      </c>
      <c r="R598" s="253">
        <f t="shared" si="180"/>
        <v>0</v>
      </c>
      <c r="S598" s="251">
        <f>SUMIFS('tuot-rehukirjanpito'!D:D,'tuot-rehukirjanpito'!A:A,A598)</f>
        <v>0</v>
      </c>
      <c r="T598" s="254">
        <f t="shared" si="174"/>
        <v>1098.9000000000001</v>
      </c>
      <c r="U598" s="254">
        <f t="shared" si="175"/>
        <v>1098.8999999999999</v>
      </c>
      <c r="V598" s="252">
        <f t="shared" si="176"/>
        <v>-654944.40000000736</v>
      </c>
      <c r="W598" s="255">
        <f t="shared" si="177"/>
        <v>-596.00000000000659</v>
      </c>
      <c r="X598" s="256" t="str">
        <f t="shared" si="164"/>
        <v/>
      </c>
      <c r="Y598" s="256" t="str">
        <f t="shared" si="165"/>
        <v/>
      </c>
      <c r="Z598" s="224" t="str">
        <f>IF(IFERROR(INDEX('tuot-rehukirjanpito'!I:I,MATCH(A598,'tuot-rehukirjanpito'!G:G,0)),)=0,"",INDEX('tuot-rehukirjanpito'!I:I,MATCH(A598,'tuot-rehukirjanpito'!G:G,0)))</f>
        <v/>
      </c>
      <c r="AA598" s="224">
        <f>SUMIFS('tuot-INFO'!$K$10:$K$115,'tuot-INFO'!$A$10:$A$115,'tuot-PVÄ'!B598)</f>
        <v>0</v>
      </c>
      <c r="AB598" s="224">
        <f>SUMIFS('rehu-vesi-INFO'!$R:$R,'rehu-vesi-INFO'!$A:$A,'tuot-PVÄ'!B598)</f>
        <v>1746</v>
      </c>
      <c r="AC598" s="224">
        <f>SUMIFS('rehu-vesi-INFO'!$S:$S,'rehu-vesi-INFO'!$A:$A,'tuot-PVÄ'!B598)</f>
        <v>1853</v>
      </c>
      <c r="AD598" s="224">
        <f t="shared" si="167"/>
        <v>107</v>
      </c>
      <c r="AE598" s="224">
        <f t="shared" si="168"/>
        <v>0</v>
      </c>
      <c r="AF598" s="224">
        <f t="shared" si="169"/>
        <v>174.6</v>
      </c>
      <c r="AG598" s="224">
        <f t="shared" si="170"/>
        <v>10.7</v>
      </c>
      <c r="AH598" s="257">
        <f t="shared" si="172"/>
        <v>0</v>
      </c>
      <c r="AI598" s="258">
        <f t="shared" si="173"/>
        <v>0</v>
      </c>
      <c r="AJ598" s="55">
        <f>SUMIFS('tuot-INFO'!W:W,'tuot-INFO'!$A:$A,'tuot-PVÄ'!B598)</f>
        <v>0</v>
      </c>
      <c r="AK598" s="55">
        <f>SUMIFS('tuot-INFO'!X:X,'tuot-INFO'!$A:$A,'tuot-PVÄ'!B598)</f>
        <v>0</v>
      </c>
    </row>
    <row r="599" spans="1:37" x14ac:dyDescent="0.25">
      <c r="A599" s="169">
        <f t="shared" si="171"/>
        <v>43085</v>
      </c>
      <c r="B599" s="23">
        <f>ROUNDUP((A599-Yleistiedot!$B$4)/7,0)</f>
        <v>103</v>
      </c>
      <c r="C599" s="16"/>
      <c r="D599" s="25"/>
      <c r="E599" s="25"/>
      <c r="F599" s="25"/>
      <c r="G599" s="25"/>
      <c r="H599" s="25"/>
      <c r="I599" s="65">
        <f t="shared" si="166"/>
        <v>0</v>
      </c>
      <c r="J599" s="26"/>
      <c r="K599" s="25"/>
      <c r="L599" s="16"/>
      <c r="M599" s="16"/>
      <c r="N599" s="25"/>
      <c r="O599" s="30"/>
      <c r="P599" s="252">
        <f t="shared" si="178"/>
        <v>9990</v>
      </c>
      <c r="Q599" s="253">
        <f t="shared" si="179"/>
        <v>0</v>
      </c>
      <c r="R599" s="253">
        <f t="shared" si="180"/>
        <v>0</v>
      </c>
      <c r="S599" s="251">
        <f>SUMIFS('tuot-rehukirjanpito'!D:D,'tuot-rehukirjanpito'!A:A,A599)</f>
        <v>0</v>
      </c>
      <c r="T599" s="254">
        <f t="shared" si="174"/>
        <v>1098.9000000000001</v>
      </c>
      <c r="U599" s="254">
        <f t="shared" si="175"/>
        <v>1098.8999999999999</v>
      </c>
      <c r="V599" s="252">
        <f t="shared" si="176"/>
        <v>-656043.30000000738</v>
      </c>
      <c r="W599" s="255">
        <f t="shared" si="177"/>
        <v>-597.00000000000671</v>
      </c>
      <c r="X599" s="256" t="str">
        <f t="shared" ref="X599:X662" si="181">IF(S599&lt;&gt;0,ROUND(A599+W598,0),"")</f>
        <v/>
      </c>
      <c r="Y599" s="256" t="str">
        <f t="shared" ref="Y599:Y662" si="182">IF(S599&lt;&gt;0,ROUND(A599+W599,0),"")</f>
        <v/>
      </c>
      <c r="Z599" s="224" t="str">
        <f>IF(IFERROR(INDEX('tuot-rehukirjanpito'!I:I,MATCH(A599,'tuot-rehukirjanpito'!G:G,0)),)=0,"",INDEX('tuot-rehukirjanpito'!I:I,MATCH(A599,'tuot-rehukirjanpito'!G:G,0)))</f>
        <v/>
      </c>
      <c r="AA599" s="224">
        <f>SUMIFS('tuot-INFO'!$K$10:$K$115,'tuot-INFO'!$A$10:$A$115,'tuot-PVÄ'!B599)</f>
        <v>0</v>
      </c>
      <c r="AB599" s="224">
        <f>SUMIFS('rehu-vesi-INFO'!$R:$R,'rehu-vesi-INFO'!$A:$A,'tuot-PVÄ'!B599)</f>
        <v>1746</v>
      </c>
      <c r="AC599" s="224">
        <f>SUMIFS('rehu-vesi-INFO'!$S:$S,'rehu-vesi-INFO'!$A:$A,'tuot-PVÄ'!B599)</f>
        <v>1853</v>
      </c>
      <c r="AD599" s="224">
        <f t="shared" si="167"/>
        <v>107</v>
      </c>
      <c r="AE599" s="224">
        <f t="shared" si="168"/>
        <v>0</v>
      </c>
      <c r="AF599" s="224">
        <f t="shared" si="169"/>
        <v>174.6</v>
      </c>
      <c r="AG599" s="224">
        <f t="shared" si="170"/>
        <v>10.7</v>
      </c>
      <c r="AH599" s="257">
        <f t="shared" si="172"/>
        <v>0</v>
      </c>
      <c r="AI599" s="258">
        <f t="shared" si="173"/>
        <v>0</v>
      </c>
      <c r="AJ599" s="55">
        <f>SUMIFS('tuot-INFO'!W:W,'tuot-INFO'!$A:$A,'tuot-PVÄ'!B599)</f>
        <v>0</v>
      </c>
      <c r="AK599" s="55">
        <f>SUMIFS('tuot-INFO'!X:X,'tuot-INFO'!$A:$A,'tuot-PVÄ'!B599)</f>
        <v>0</v>
      </c>
    </row>
    <row r="600" spans="1:37" x14ac:dyDescent="0.25">
      <c r="A600" s="169">
        <f t="shared" si="171"/>
        <v>43086</v>
      </c>
      <c r="B600" s="23">
        <f>ROUNDUP((A600-Yleistiedot!$B$4)/7,0)</f>
        <v>103</v>
      </c>
      <c r="C600" s="16"/>
      <c r="D600" s="25"/>
      <c r="E600" s="25"/>
      <c r="F600" s="25"/>
      <c r="G600" s="25"/>
      <c r="H600" s="25"/>
      <c r="I600" s="65">
        <f t="shared" si="166"/>
        <v>0</v>
      </c>
      <c r="J600" s="26"/>
      <c r="K600" s="25"/>
      <c r="L600" s="16"/>
      <c r="M600" s="16"/>
      <c r="N600" s="25"/>
      <c r="O600" s="30"/>
      <c r="P600" s="252">
        <f t="shared" si="178"/>
        <v>9990</v>
      </c>
      <c r="Q600" s="253">
        <f t="shared" si="179"/>
        <v>0</v>
      </c>
      <c r="R600" s="253">
        <f t="shared" si="180"/>
        <v>0</v>
      </c>
      <c r="S600" s="251">
        <f>SUMIFS('tuot-rehukirjanpito'!D:D,'tuot-rehukirjanpito'!A:A,A600)</f>
        <v>0</v>
      </c>
      <c r="T600" s="254">
        <f t="shared" si="174"/>
        <v>1098.9000000000001</v>
      </c>
      <c r="U600" s="254">
        <f t="shared" si="175"/>
        <v>1098.8999999999999</v>
      </c>
      <c r="V600" s="252">
        <f t="shared" si="176"/>
        <v>-657142.2000000074</v>
      </c>
      <c r="W600" s="255">
        <f t="shared" si="177"/>
        <v>-598.00000000000671</v>
      </c>
      <c r="X600" s="256" t="str">
        <f t="shared" si="181"/>
        <v/>
      </c>
      <c r="Y600" s="256" t="str">
        <f t="shared" si="182"/>
        <v/>
      </c>
      <c r="Z600" s="224" t="str">
        <f>IF(IFERROR(INDEX('tuot-rehukirjanpito'!I:I,MATCH(A600,'tuot-rehukirjanpito'!G:G,0)),)=0,"",INDEX('tuot-rehukirjanpito'!I:I,MATCH(A600,'tuot-rehukirjanpito'!G:G,0)))</f>
        <v/>
      </c>
      <c r="AA600" s="224">
        <f>SUMIFS('tuot-INFO'!$K$10:$K$115,'tuot-INFO'!$A$10:$A$115,'tuot-PVÄ'!B600)</f>
        <v>0</v>
      </c>
      <c r="AB600" s="224">
        <f>SUMIFS('rehu-vesi-INFO'!$R:$R,'rehu-vesi-INFO'!$A:$A,'tuot-PVÄ'!B600)</f>
        <v>1746</v>
      </c>
      <c r="AC600" s="224">
        <f>SUMIFS('rehu-vesi-INFO'!$S:$S,'rehu-vesi-INFO'!$A:$A,'tuot-PVÄ'!B600)</f>
        <v>1853</v>
      </c>
      <c r="AD600" s="224">
        <f t="shared" si="167"/>
        <v>107</v>
      </c>
      <c r="AE600" s="224">
        <f t="shared" si="168"/>
        <v>0</v>
      </c>
      <c r="AF600" s="224">
        <f t="shared" si="169"/>
        <v>174.6</v>
      </c>
      <c r="AG600" s="224">
        <f t="shared" si="170"/>
        <v>10.7</v>
      </c>
      <c r="AH600" s="257">
        <f t="shared" si="172"/>
        <v>0</v>
      </c>
      <c r="AI600" s="258">
        <f t="shared" si="173"/>
        <v>0</v>
      </c>
      <c r="AJ600" s="55">
        <f>SUMIFS('tuot-INFO'!W:W,'tuot-INFO'!$A:$A,'tuot-PVÄ'!B600)</f>
        <v>0</v>
      </c>
      <c r="AK600" s="55">
        <f>SUMIFS('tuot-INFO'!X:X,'tuot-INFO'!$A:$A,'tuot-PVÄ'!B600)</f>
        <v>0</v>
      </c>
    </row>
    <row r="601" spans="1:37" x14ac:dyDescent="0.25">
      <c r="A601" s="169">
        <f t="shared" si="171"/>
        <v>43087</v>
      </c>
      <c r="B601" s="23">
        <f>ROUNDUP((A601-Yleistiedot!$B$4)/7,0)</f>
        <v>103</v>
      </c>
      <c r="C601" s="16"/>
      <c r="D601" s="25"/>
      <c r="E601" s="25"/>
      <c r="F601" s="25"/>
      <c r="G601" s="25"/>
      <c r="H601" s="25"/>
      <c r="I601" s="65">
        <f t="shared" si="166"/>
        <v>0</v>
      </c>
      <c r="J601" s="26"/>
      <c r="K601" s="25"/>
      <c r="L601" s="16"/>
      <c r="M601" s="16"/>
      <c r="N601" s="25"/>
      <c r="O601" s="30"/>
      <c r="P601" s="252">
        <f t="shared" si="178"/>
        <v>9990</v>
      </c>
      <c r="Q601" s="253">
        <f t="shared" si="179"/>
        <v>0</v>
      </c>
      <c r="R601" s="253">
        <f t="shared" si="180"/>
        <v>0</v>
      </c>
      <c r="S601" s="251">
        <f>SUMIFS('tuot-rehukirjanpito'!D:D,'tuot-rehukirjanpito'!A:A,A601)</f>
        <v>0</v>
      </c>
      <c r="T601" s="254">
        <f t="shared" si="174"/>
        <v>1098.9000000000001</v>
      </c>
      <c r="U601" s="254">
        <f t="shared" si="175"/>
        <v>1098.8999999999999</v>
      </c>
      <c r="V601" s="252">
        <f t="shared" si="176"/>
        <v>-658241.10000000743</v>
      </c>
      <c r="W601" s="255">
        <f t="shared" si="177"/>
        <v>-599.00000000000671</v>
      </c>
      <c r="X601" s="256" t="str">
        <f t="shared" si="181"/>
        <v/>
      </c>
      <c r="Y601" s="256" t="str">
        <f t="shared" si="182"/>
        <v/>
      </c>
      <c r="Z601" s="224" t="str">
        <f>IF(IFERROR(INDEX('tuot-rehukirjanpito'!I:I,MATCH(A601,'tuot-rehukirjanpito'!G:G,0)),)=0,"",INDEX('tuot-rehukirjanpito'!I:I,MATCH(A601,'tuot-rehukirjanpito'!G:G,0)))</f>
        <v/>
      </c>
      <c r="AA601" s="224">
        <f>SUMIFS('tuot-INFO'!$K$10:$K$115,'tuot-INFO'!$A$10:$A$115,'tuot-PVÄ'!B601)</f>
        <v>0</v>
      </c>
      <c r="AB601" s="224">
        <f>SUMIFS('rehu-vesi-INFO'!$R:$R,'rehu-vesi-INFO'!$A:$A,'tuot-PVÄ'!B601)</f>
        <v>1746</v>
      </c>
      <c r="AC601" s="224">
        <f>SUMIFS('rehu-vesi-INFO'!$S:$S,'rehu-vesi-INFO'!$A:$A,'tuot-PVÄ'!B601)</f>
        <v>1853</v>
      </c>
      <c r="AD601" s="224">
        <f t="shared" si="167"/>
        <v>107</v>
      </c>
      <c r="AE601" s="224">
        <f t="shared" si="168"/>
        <v>0</v>
      </c>
      <c r="AF601" s="224">
        <f t="shared" si="169"/>
        <v>174.6</v>
      </c>
      <c r="AG601" s="224">
        <f t="shared" si="170"/>
        <v>10.7</v>
      </c>
      <c r="AH601" s="257">
        <f t="shared" si="172"/>
        <v>0</v>
      </c>
      <c r="AI601" s="258">
        <f t="shared" si="173"/>
        <v>0</v>
      </c>
      <c r="AJ601" s="55">
        <f>SUMIFS('tuot-INFO'!W:W,'tuot-INFO'!$A:$A,'tuot-PVÄ'!B601)</f>
        <v>0</v>
      </c>
      <c r="AK601" s="55">
        <f>SUMIFS('tuot-INFO'!X:X,'tuot-INFO'!$A:$A,'tuot-PVÄ'!B601)</f>
        <v>0</v>
      </c>
    </row>
    <row r="602" spans="1:37" x14ac:dyDescent="0.25">
      <c r="A602" s="169">
        <f t="shared" si="171"/>
        <v>43088</v>
      </c>
      <c r="B602" s="23">
        <f>ROUNDUP((A602-Yleistiedot!$B$4)/7,0)</f>
        <v>103</v>
      </c>
      <c r="C602" s="16"/>
      <c r="D602" s="25"/>
      <c r="E602" s="25"/>
      <c r="F602" s="25"/>
      <c r="G602" s="25"/>
      <c r="H602" s="25"/>
      <c r="I602" s="65">
        <f t="shared" si="166"/>
        <v>0</v>
      </c>
      <c r="J602" s="26"/>
      <c r="K602" s="25"/>
      <c r="L602" s="16"/>
      <c r="M602" s="16"/>
      <c r="N602" s="25"/>
      <c r="O602" s="30"/>
      <c r="P602" s="252">
        <f t="shared" si="178"/>
        <v>9990</v>
      </c>
      <c r="Q602" s="253">
        <f t="shared" si="179"/>
        <v>0</v>
      </c>
      <c r="R602" s="253">
        <f t="shared" si="180"/>
        <v>0</v>
      </c>
      <c r="S602" s="251">
        <f>SUMIFS('tuot-rehukirjanpito'!D:D,'tuot-rehukirjanpito'!A:A,A602)</f>
        <v>0</v>
      </c>
      <c r="T602" s="254">
        <f t="shared" si="174"/>
        <v>1098.9000000000001</v>
      </c>
      <c r="U602" s="254">
        <f t="shared" si="175"/>
        <v>1098.8999999999999</v>
      </c>
      <c r="V602" s="252">
        <f t="shared" si="176"/>
        <v>-659340.00000000745</v>
      </c>
      <c r="W602" s="255">
        <f t="shared" si="177"/>
        <v>-600.00000000000671</v>
      </c>
      <c r="X602" s="256" t="str">
        <f t="shared" si="181"/>
        <v/>
      </c>
      <c r="Y602" s="256" t="str">
        <f t="shared" si="182"/>
        <v/>
      </c>
      <c r="Z602" s="224" t="str">
        <f>IF(IFERROR(INDEX('tuot-rehukirjanpito'!I:I,MATCH(A602,'tuot-rehukirjanpito'!G:G,0)),)=0,"",INDEX('tuot-rehukirjanpito'!I:I,MATCH(A602,'tuot-rehukirjanpito'!G:G,0)))</f>
        <v/>
      </c>
      <c r="AA602" s="224">
        <f>SUMIFS('tuot-INFO'!$K$10:$K$115,'tuot-INFO'!$A$10:$A$115,'tuot-PVÄ'!B602)</f>
        <v>0</v>
      </c>
      <c r="AB602" s="224">
        <f>SUMIFS('rehu-vesi-INFO'!$R:$R,'rehu-vesi-INFO'!$A:$A,'tuot-PVÄ'!B602)</f>
        <v>1746</v>
      </c>
      <c r="AC602" s="224">
        <f>SUMIFS('rehu-vesi-INFO'!$S:$S,'rehu-vesi-INFO'!$A:$A,'tuot-PVÄ'!B602)</f>
        <v>1853</v>
      </c>
      <c r="AD602" s="224">
        <f t="shared" si="167"/>
        <v>107</v>
      </c>
      <c r="AE602" s="224">
        <f t="shared" si="168"/>
        <v>0</v>
      </c>
      <c r="AF602" s="224">
        <f t="shared" si="169"/>
        <v>174.6</v>
      </c>
      <c r="AG602" s="224">
        <f t="shared" si="170"/>
        <v>10.7</v>
      </c>
      <c r="AH602" s="257">
        <f t="shared" si="172"/>
        <v>0</v>
      </c>
      <c r="AI602" s="258">
        <f t="shared" si="173"/>
        <v>0</v>
      </c>
      <c r="AJ602" s="55">
        <f>SUMIFS('tuot-INFO'!W:W,'tuot-INFO'!$A:$A,'tuot-PVÄ'!B602)</f>
        <v>0</v>
      </c>
      <c r="AK602" s="55">
        <f>SUMIFS('tuot-INFO'!X:X,'tuot-INFO'!$A:$A,'tuot-PVÄ'!B602)</f>
        <v>0</v>
      </c>
    </row>
    <row r="603" spans="1:37" x14ac:dyDescent="0.25">
      <c r="A603" s="169">
        <f t="shared" si="171"/>
        <v>43089</v>
      </c>
      <c r="B603" s="23">
        <f>ROUNDUP((A603-Yleistiedot!$B$4)/7,0)</f>
        <v>103</v>
      </c>
      <c r="C603" s="16"/>
      <c r="D603" s="25"/>
      <c r="E603" s="25"/>
      <c r="F603" s="25"/>
      <c r="G603" s="25"/>
      <c r="H603" s="25"/>
      <c r="I603" s="65">
        <f t="shared" si="166"/>
        <v>0</v>
      </c>
      <c r="J603" s="26"/>
      <c r="K603" s="25"/>
      <c r="L603" s="16"/>
      <c r="M603" s="16"/>
      <c r="N603" s="25"/>
      <c r="O603" s="30"/>
      <c r="P603" s="252">
        <f t="shared" si="178"/>
        <v>9990</v>
      </c>
      <c r="Q603" s="253">
        <f t="shared" si="179"/>
        <v>0</v>
      </c>
      <c r="R603" s="253">
        <f t="shared" si="180"/>
        <v>0</v>
      </c>
      <c r="S603" s="251">
        <f>SUMIFS('tuot-rehukirjanpito'!D:D,'tuot-rehukirjanpito'!A:A,A603)</f>
        <v>0</v>
      </c>
      <c r="T603" s="254">
        <f t="shared" si="174"/>
        <v>1098.9000000000001</v>
      </c>
      <c r="U603" s="254">
        <f t="shared" si="175"/>
        <v>1098.8999999999999</v>
      </c>
      <c r="V603" s="252">
        <f t="shared" si="176"/>
        <v>-660438.90000000747</v>
      </c>
      <c r="W603" s="255">
        <f t="shared" si="177"/>
        <v>-601.00000000000671</v>
      </c>
      <c r="X603" s="256" t="str">
        <f t="shared" si="181"/>
        <v/>
      </c>
      <c r="Y603" s="256" t="str">
        <f t="shared" si="182"/>
        <v/>
      </c>
      <c r="Z603" s="224" t="str">
        <f>IF(IFERROR(INDEX('tuot-rehukirjanpito'!I:I,MATCH(A603,'tuot-rehukirjanpito'!G:G,0)),)=0,"",INDEX('tuot-rehukirjanpito'!I:I,MATCH(A603,'tuot-rehukirjanpito'!G:G,0)))</f>
        <v/>
      </c>
      <c r="AA603" s="224">
        <f>SUMIFS('tuot-INFO'!$K$10:$K$115,'tuot-INFO'!$A$10:$A$115,'tuot-PVÄ'!B603)</f>
        <v>0</v>
      </c>
      <c r="AB603" s="224">
        <f>SUMIFS('rehu-vesi-INFO'!$R:$R,'rehu-vesi-INFO'!$A:$A,'tuot-PVÄ'!B603)</f>
        <v>1746</v>
      </c>
      <c r="AC603" s="224">
        <f>SUMIFS('rehu-vesi-INFO'!$S:$S,'rehu-vesi-INFO'!$A:$A,'tuot-PVÄ'!B603)</f>
        <v>1853</v>
      </c>
      <c r="AD603" s="224">
        <f t="shared" si="167"/>
        <v>107</v>
      </c>
      <c r="AE603" s="224">
        <f t="shared" si="168"/>
        <v>0</v>
      </c>
      <c r="AF603" s="224">
        <f t="shared" si="169"/>
        <v>174.6</v>
      </c>
      <c r="AG603" s="224">
        <f t="shared" si="170"/>
        <v>10.7</v>
      </c>
      <c r="AH603" s="257">
        <f t="shared" si="172"/>
        <v>0</v>
      </c>
      <c r="AI603" s="258">
        <f t="shared" si="173"/>
        <v>0</v>
      </c>
      <c r="AJ603" s="55">
        <f>SUMIFS('tuot-INFO'!W:W,'tuot-INFO'!$A:$A,'tuot-PVÄ'!B603)</f>
        <v>0</v>
      </c>
      <c r="AK603" s="55">
        <f>SUMIFS('tuot-INFO'!X:X,'tuot-INFO'!$A:$A,'tuot-PVÄ'!B603)</f>
        <v>0</v>
      </c>
    </row>
    <row r="604" spans="1:37" x14ac:dyDescent="0.25">
      <c r="A604" s="169">
        <f t="shared" si="171"/>
        <v>43090</v>
      </c>
      <c r="B604" s="23">
        <f>ROUNDUP((A604-Yleistiedot!$B$4)/7,0)</f>
        <v>103</v>
      </c>
      <c r="C604" s="16"/>
      <c r="D604" s="25"/>
      <c r="E604" s="25"/>
      <c r="F604" s="25"/>
      <c r="G604" s="25"/>
      <c r="H604" s="25"/>
      <c r="I604" s="65">
        <f t="shared" si="166"/>
        <v>0</v>
      </c>
      <c r="J604" s="26"/>
      <c r="K604" s="25"/>
      <c r="L604" s="16"/>
      <c r="M604" s="16"/>
      <c r="N604" s="25"/>
      <c r="O604" s="30"/>
      <c r="P604" s="252">
        <f t="shared" si="178"/>
        <v>9990</v>
      </c>
      <c r="Q604" s="253">
        <f t="shared" si="179"/>
        <v>0</v>
      </c>
      <c r="R604" s="253">
        <f t="shared" si="180"/>
        <v>0</v>
      </c>
      <c r="S604" s="251">
        <f>SUMIFS('tuot-rehukirjanpito'!D:D,'tuot-rehukirjanpito'!A:A,A604)</f>
        <v>0</v>
      </c>
      <c r="T604" s="254">
        <f t="shared" si="174"/>
        <v>1098.9000000000001</v>
      </c>
      <c r="U604" s="254">
        <f t="shared" si="175"/>
        <v>1098.8999999999999</v>
      </c>
      <c r="V604" s="252">
        <f t="shared" si="176"/>
        <v>-661537.8000000075</v>
      </c>
      <c r="W604" s="255">
        <f t="shared" si="177"/>
        <v>-602.00000000000682</v>
      </c>
      <c r="X604" s="256" t="str">
        <f t="shared" si="181"/>
        <v/>
      </c>
      <c r="Y604" s="256" t="str">
        <f t="shared" si="182"/>
        <v/>
      </c>
      <c r="Z604" s="224" t="str">
        <f>IF(IFERROR(INDEX('tuot-rehukirjanpito'!I:I,MATCH(A604,'tuot-rehukirjanpito'!G:G,0)),)=0,"",INDEX('tuot-rehukirjanpito'!I:I,MATCH(A604,'tuot-rehukirjanpito'!G:G,0)))</f>
        <v/>
      </c>
      <c r="AA604" s="224">
        <f>SUMIFS('tuot-INFO'!$K$10:$K$115,'tuot-INFO'!$A$10:$A$115,'tuot-PVÄ'!B604)</f>
        <v>0</v>
      </c>
      <c r="AB604" s="224">
        <f>SUMIFS('rehu-vesi-INFO'!$R:$R,'rehu-vesi-INFO'!$A:$A,'tuot-PVÄ'!B604)</f>
        <v>1746</v>
      </c>
      <c r="AC604" s="224">
        <f>SUMIFS('rehu-vesi-INFO'!$S:$S,'rehu-vesi-INFO'!$A:$A,'tuot-PVÄ'!B604)</f>
        <v>1853</v>
      </c>
      <c r="AD604" s="224">
        <f t="shared" si="167"/>
        <v>107</v>
      </c>
      <c r="AE604" s="224">
        <f t="shared" si="168"/>
        <v>0</v>
      </c>
      <c r="AF604" s="224">
        <f t="shared" si="169"/>
        <v>174.6</v>
      </c>
      <c r="AG604" s="224">
        <f t="shared" si="170"/>
        <v>10.7</v>
      </c>
      <c r="AH604" s="257">
        <f t="shared" si="172"/>
        <v>0</v>
      </c>
      <c r="AI604" s="258">
        <f t="shared" si="173"/>
        <v>0</v>
      </c>
      <c r="AJ604" s="55">
        <f>SUMIFS('tuot-INFO'!W:W,'tuot-INFO'!$A:$A,'tuot-PVÄ'!B604)</f>
        <v>0</v>
      </c>
      <c r="AK604" s="55">
        <f>SUMIFS('tuot-INFO'!X:X,'tuot-INFO'!$A:$A,'tuot-PVÄ'!B604)</f>
        <v>0</v>
      </c>
    </row>
    <row r="605" spans="1:37" x14ac:dyDescent="0.25">
      <c r="A605" s="169">
        <f t="shared" si="171"/>
        <v>43091</v>
      </c>
      <c r="B605" s="23">
        <f>ROUNDUP((A605-Yleistiedot!$B$4)/7,0)</f>
        <v>103</v>
      </c>
      <c r="C605" s="16"/>
      <c r="D605" s="25"/>
      <c r="E605" s="25"/>
      <c r="F605" s="25"/>
      <c r="G605" s="25"/>
      <c r="H605" s="25"/>
      <c r="I605" s="65">
        <f t="shared" si="166"/>
        <v>0</v>
      </c>
      <c r="J605" s="26"/>
      <c r="K605" s="25"/>
      <c r="L605" s="16"/>
      <c r="M605" s="16"/>
      <c r="N605" s="25"/>
      <c r="O605" s="30"/>
      <c r="P605" s="252">
        <f t="shared" si="178"/>
        <v>9990</v>
      </c>
      <c r="Q605" s="253">
        <f t="shared" si="179"/>
        <v>0</v>
      </c>
      <c r="R605" s="253">
        <f t="shared" si="180"/>
        <v>0</v>
      </c>
      <c r="S605" s="251">
        <f>SUMIFS('tuot-rehukirjanpito'!D:D,'tuot-rehukirjanpito'!A:A,A605)</f>
        <v>0</v>
      </c>
      <c r="T605" s="254">
        <f t="shared" si="174"/>
        <v>1098.9000000000001</v>
      </c>
      <c r="U605" s="254">
        <f t="shared" si="175"/>
        <v>1098.8999999999999</v>
      </c>
      <c r="V605" s="252">
        <f t="shared" si="176"/>
        <v>-662636.70000000752</v>
      </c>
      <c r="W605" s="255">
        <f t="shared" si="177"/>
        <v>-603.00000000000682</v>
      </c>
      <c r="X605" s="256" t="str">
        <f t="shared" si="181"/>
        <v/>
      </c>
      <c r="Y605" s="256" t="str">
        <f t="shared" si="182"/>
        <v/>
      </c>
      <c r="Z605" s="224" t="str">
        <f>IF(IFERROR(INDEX('tuot-rehukirjanpito'!I:I,MATCH(A605,'tuot-rehukirjanpito'!G:G,0)),)=0,"",INDEX('tuot-rehukirjanpito'!I:I,MATCH(A605,'tuot-rehukirjanpito'!G:G,0)))</f>
        <v/>
      </c>
      <c r="AA605" s="224">
        <f>SUMIFS('tuot-INFO'!$K$10:$K$115,'tuot-INFO'!$A$10:$A$115,'tuot-PVÄ'!B605)</f>
        <v>0</v>
      </c>
      <c r="AB605" s="224">
        <f>SUMIFS('rehu-vesi-INFO'!$R:$R,'rehu-vesi-INFO'!$A:$A,'tuot-PVÄ'!B605)</f>
        <v>1746</v>
      </c>
      <c r="AC605" s="224">
        <f>SUMIFS('rehu-vesi-INFO'!$S:$S,'rehu-vesi-INFO'!$A:$A,'tuot-PVÄ'!B605)</f>
        <v>1853</v>
      </c>
      <c r="AD605" s="224">
        <f t="shared" si="167"/>
        <v>107</v>
      </c>
      <c r="AE605" s="224">
        <f t="shared" si="168"/>
        <v>0</v>
      </c>
      <c r="AF605" s="224">
        <f t="shared" si="169"/>
        <v>174.6</v>
      </c>
      <c r="AG605" s="224">
        <f t="shared" si="170"/>
        <v>10.7</v>
      </c>
      <c r="AH605" s="257">
        <f t="shared" si="172"/>
        <v>0</v>
      </c>
      <c r="AI605" s="258">
        <f t="shared" si="173"/>
        <v>0</v>
      </c>
      <c r="AJ605" s="55">
        <f>SUMIFS('tuot-INFO'!W:W,'tuot-INFO'!$A:$A,'tuot-PVÄ'!B605)</f>
        <v>0</v>
      </c>
      <c r="AK605" s="55">
        <f>SUMIFS('tuot-INFO'!X:X,'tuot-INFO'!$A:$A,'tuot-PVÄ'!B605)</f>
        <v>0</v>
      </c>
    </row>
    <row r="606" spans="1:37" x14ac:dyDescent="0.25">
      <c r="A606" s="169">
        <f t="shared" si="171"/>
        <v>43092</v>
      </c>
      <c r="B606" s="23">
        <f>ROUNDUP((A606-Yleistiedot!$B$4)/7,0)</f>
        <v>104</v>
      </c>
      <c r="C606" s="16"/>
      <c r="D606" s="25"/>
      <c r="E606" s="25"/>
      <c r="F606" s="25"/>
      <c r="G606" s="25"/>
      <c r="H606" s="25"/>
      <c r="I606" s="65">
        <f t="shared" si="166"/>
        <v>0</v>
      </c>
      <c r="J606" s="26"/>
      <c r="K606" s="25"/>
      <c r="L606" s="16"/>
      <c r="M606" s="16"/>
      <c r="N606" s="25"/>
      <c r="O606" s="30"/>
      <c r="P606" s="252">
        <f t="shared" si="178"/>
        <v>9990</v>
      </c>
      <c r="Q606" s="253">
        <f t="shared" si="179"/>
        <v>0</v>
      </c>
      <c r="R606" s="253">
        <f t="shared" si="180"/>
        <v>0</v>
      </c>
      <c r="S606" s="251">
        <f>SUMIFS('tuot-rehukirjanpito'!D:D,'tuot-rehukirjanpito'!A:A,A606)</f>
        <v>0</v>
      </c>
      <c r="T606" s="254">
        <f t="shared" si="174"/>
        <v>1098.9000000000001</v>
      </c>
      <c r="U606" s="254">
        <f t="shared" si="175"/>
        <v>1098.8999999999999</v>
      </c>
      <c r="V606" s="252">
        <f t="shared" si="176"/>
        <v>-663735.60000000754</v>
      </c>
      <c r="W606" s="255">
        <f t="shared" si="177"/>
        <v>-604.00000000000682</v>
      </c>
      <c r="X606" s="256" t="str">
        <f t="shared" si="181"/>
        <v/>
      </c>
      <c r="Y606" s="256" t="str">
        <f t="shared" si="182"/>
        <v/>
      </c>
      <c r="Z606" s="224" t="str">
        <f>IF(IFERROR(INDEX('tuot-rehukirjanpito'!I:I,MATCH(A606,'tuot-rehukirjanpito'!G:G,0)),)=0,"",INDEX('tuot-rehukirjanpito'!I:I,MATCH(A606,'tuot-rehukirjanpito'!G:G,0)))</f>
        <v/>
      </c>
      <c r="AA606" s="224">
        <f>SUMIFS('tuot-INFO'!$K$10:$K$115,'tuot-INFO'!$A$10:$A$115,'tuot-PVÄ'!B606)</f>
        <v>0</v>
      </c>
      <c r="AB606" s="224">
        <f>SUMIFS('rehu-vesi-INFO'!$R:$R,'rehu-vesi-INFO'!$A:$A,'tuot-PVÄ'!B606)</f>
        <v>1746</v>
      </c>
      <c r="AC606" s="224">
        <f>SUMIFS('rehu-vesi-INFO'!$S:$S,'rehu-vesi-INFO'!$A:$A,'tuot-PVÄ'!B606)</f>
        <v>1853</v>
      </c>
      <c r="AD606" s="224">
        <f t="shared" si="167"/>
        <v>107</v>
      </c>
      <c r="AE606" s="224">
        <f t="shared" si="168"/>
        <v>0</v>
      </c>
      <c r="AF606" s="224">
        <f t="shared" si="169"/>
        <v>174.6</v>
      </c>
      <c r="AG606" s="224">
        <f t="shared" si="170"/>
        <v>10.7</v>
      </c>
      <c r="AH606" s="257">
        <f t="shared" si="172"/>
        <v>0</v>
      </c>
      <c r="AI606" s="258">
        <f t="shared" si="173"/>
        <v>0</v>
      </c>
      <c r="AJ606" s="55">
        <f>SUMIFS('tuot-INFO'!W:W,'tuot-INFO'!$A:$A,'tuot-PVÄ'!B606)</f>
        <v>0</v>
      </c>
      <c r="AK606" s="55">
        <f>SUMIFS('tuot-INFO'!X:X,'tuot-INFO'!$A:$A,'tuot-PVÄ'!B606)</f>
        <v>0</v>
      </c>
    </row>
    <row r="607" spans="1:37" x14ac:dyDescent="0.25">
      <c r="A607" s="169">
        <f t="shared" si="171"/>
        <v>43093</v>
      </c>
      <c r="B607" s="23">
        <f>ROUNDUP((A607-Yleistiedot!$B$4)/7,0)</f>
        <v>104</v>
      </c>
      <c r="C607" s="16"/>
      <c r="D607" s="25"/>
      <c r="E607" s="25"/>
      <c r="F607" s="25"/>
      <c r="G607" s="25"/>
      <c r="H607" s="25"/>
      <c r="I607" s="65">
        <f t="shared" si="166"/>
        <v>0</v>
      </c>
      <c r="J607" s="26"/>
      <c r="K607" s="25"/>
      <c r="L607" s="16"/>
      <c r="M607" s="16"/>
      <c r="N607" s="25"/>
      <c r="O607" s="30"/>
      <c r="P607" s="252">
        <f t="shared" si="178"/>
        <v>9990</v>
      </c>
      <c r="Q607" s="253">
        <f t="shared" si="179"/>
        <v>0</v>
      </c>
      <c r="R607" s="253">
        <f t="shared" si="180"/>
        <v>0</v>
      </c>
      <c r="S607" s="251">
        <f>SUMIFS('tuot-rehukirjanpito'!D:D,'tuot-rehukirjanpito'!A:A,A607)</f>
        <v>0</v>
      </c>
      <c r="T607" s="254">
        <f t="shared" si="174"/>
        <v>1098.9000000000001</v>
      </c>
      <c r="U607" s="254">
        <f t="shared" si="175"/>
        <v>1098.8999999999999</v>
      </c>
      <c r="V607" s="252">
        <f t="shared" si="176"/>
        <v>-664834.50000000757</v>
      </c>
      <c r="W607" s="255">
        <f t="shared" si="177"/>
        <v>-605.00000000000682</v>
      </c>
      <c r="X607" s="256" t="str">
        <f t="shared" si="181"/>
        <v/>
      </c>
      <c r="Y607" s="256" t="str">
        <f t="shared" si="182"/>
        <v/>
      </c>
      <c r="Z607" s="224" t="str">
        <f>IF(IFERROR(INDEX('tuot-rehukirjanpito'!I:I,MATCH(A607,'tuot-rehukirjanpito'!G:G,0)),)=0,"",INDEX('tuot-rehukirjanpito'!I:I,MATCH(A607,'tuot-rehukirjanpito'!G:G,0)))</f>
        <v/>
      </c>
      <c r="AA607" s="224">
        <f>SUMIFS('tuot-INFO'!$K$10:$K$115,'tuot-INFO'!$A$10:$A$115,'tuot-PVÄ'!B607)</f>
        <v>0</v>
      </c>
      <c r="AB607" s="224">
        <f>SUMIFS('rehu-vesi-INFO'!$R:$R,'rehu-vesi-INFO'!$A:$A,'tuot-PVÄ'!B607)</f>
        <v>1746</v>
      </c>
      <c r="AC607" s="224">
        <f>SUMIFS('rehu-vesi-INFO'!$S:$S,'rehu-vesi-INFO'!$A:$A,'tuot-PVÄ'!B607)</f>
        <v>1853</v>
      </c>
      <c r="AD607" s="224">
        <f t="shared" si="167"/>
        <v>107</v>
      </c>
      <c r="AE607" s="224">
        <f t="shared" si="168"/>
        <v>0</v>
      </c>
      <c r="AF607" s="224">
        <f t="shared" si="169"/>
        <v>174.6</v>
      </c>
      <c r="AG607" s="224">
        <f t="shared" si="170"/>
        <v>10.7</v>
      </c>
      <c r="AH607" s="257">
        <f t="shared" si="172"/>
        <v>0</v>
      </c>
      <c r="AI607" s="258">
        <f t="shared" si="173"/>
        <v>0</v>
      </c>
      <c r="AJ607" s="55">
        <f>SUMIFS('tuot-INFO'!W:W,'tuot-INFO'!$A:$A,'tuot-PVÄ'!B607)</f>
        <v>0</v>
      </c>
      <c r="AK607" s="55">
        <f>SUMIFS('tuot-INFO'!X:X,'tuot-INFO'!$A:$A,'tuot-PVÄ'!B607)</f>
        <v>0</v>
      </c>
    </row>
    <row r="608" spans="1:37" x14ac:dyDescent="0.25">
      <c r="A608" s="169">
        <f t="shared" si="171"/>
        <v>43094</v>
      </c>
      <c r="B608" s="23">
        <f>ROUNDUP((A608-Yleistiedot!$B$4)/7,0)</f>
        <v>104</v>
      </c>
      <c r="C608" s="16"/>
      <c r="D608" s="25"/>
      <c r="E608" s="25"/>
      <c r="F608" s="25"/>
      <c r="G608" s="25"/>
      <c r="H608" s="25"/>
      <c r="I608" s="65">
        <f t="shared" si="166"/>
        <v>0</v>
      </c>
      <c r="J608" s="26"/>
      <c r="K608" s="25"/>
      <c r="L608" s="16"/>
      <c r="M608" s="16"/>
      <c r="N608" s="25"/>
      <c r="O608" s="30"/>
      <c r="P608" s="252">
        <f t="shared" si="178"/>
        <v>9990</v>
      </c>
      <c r="Q608" s="253">
        <f t="shared" si="179"/>
        <v>0</v>
      </c>
      <c r="R608" s="253">
        <f t="shared" si="180"/>
        <v>0</v>
      </c>
      <c r="S608" s="251">
        <f>SUMIFS('tuot-rehukirjanpito'!D:D,'tuot-rehukirjanpito'!A:A,A608)</f>
        <v>0</v>
      </c>
      <c r="T608" s="254">
        <f t="shared" si="174"/>
        <v>1098.9000000000001</v>
      </c>
      <c r="U608" s="254">
        <f t="shared" si="175"/>
        <v>1098.8999999999999</v>
      </c>
      <c r="V608" s="252">
        <f t="shared" si="176"/>
        <v>-665933.40000000759</v>
      </c>
      <c r="W608" s="255">
        <f t="shared" si="177"/>
        <v>-606.00000000000682</v>
      </c>
      <c r="X608" s="256" t="str">
        <f t="shared" si="181"/>
        <v/>
      </c>
      <c r="Y608" s="256" t="str">
        <f t="shared" si="182"/>
        <v/>
      </c>
      <c r="Z608" s="224" t="str">
        <f>IF(IFERROR(INDEX('tuot-rehukirjanpito'!I:I,MATCH(A608,'tuot-rehukirjanpito'!G:G,0)),)=0,"",INDEX('tuot-rehukirjanpito'!I:I,MATCH(A608,'tuot-rehukirjanpito'!G:G,0)))</f>
        <v/>
      </c>
      <c r="AA608" s="224">
        <f>SUMIFS('tuot-INFO'!$K$10:$K$115,'tuot-INFO'!$A$10:$A$115,'tuot-PVÄ'!B608)</f>
        <v>0</v>
      </c>
      <c r="AB608" s="224">
        <f>SUMIFS('rehu-vesi-INFO'!$R:$R,'rehu-vesi-INFO'!$A:$A,'tuot-PVÄ'!B608)</f>
        <v>1746</v>
      </c>
      <c r="AC608" s="224">
        <f>SUMIFS('rehu-vesi-INFO'!$S:$S,'rehu-vesi-INFO'!$A:$A,'tuot-PVÄ'!B608)</f>
        <v>1853</v>
      </c>
      <c r="AD608" s="224">
        <f t="shared" si="167"/>
        <v>107</v>
      </c>
      <c r="AE608" s="224">
        <f t="shared" si="168"/>
        <v>0</v>
      </c>
      <c r="AF608" s="224">
        <f t="shared" si="169"/>
        <v>174.6</v>
      </c>
      <c r="AG608" s="224">
        <f t="shared" si="170"/>
        <v>10.7</v>
      </c>
      <c r="AH608" s="257">
        <f t="shared" si="172"/>
        <v>0</v>
      </c>
      <c r="AI608" s="258">
        <f t="shared" si="173"/>
        <v>0</v>
      </c>
      <c r="AJ608" s="55">
        <f>SUMIFS('tuot-INFO'!W:W,'tuot-INFO'!$A:$A,'tuot-PVÄ'!B608)</f>
        <v>0</v>
      </c>
      <c r="AK608" s="55">
        <f>SUMIFS('tuot-INFO'!X:X,'tuot-INFO'!$A:$A,'tuot-PVÄ'!B608)</f>
        <v>0</v>
      </c>
    </row>
    <row r="609" spans="1:37" x14ac:dyDescent="0.25">
      <c r="A609" s="169">
        <f t="shared" si="171"/>
        <v>43095</v>
      </c>
      <c r="B609" s="23">
        <f>ROUNDUP((A609-Yleistiedot!$B$4)/7,0)</f>
        <v>104</v>
      </c>
      <c r="C609" s="16"/>
      <c r="D609" s="25"/>
      <c r="E609" s="25"/>
      <c r="F609" s="25"/>
      <c r="G609" s="25"/>
      <c r="H609" s="25"/>
      <c r="I609" s="65">
        <f t="shared" si="166"/>
        <v>0</v>
      </c>
      <c r="J609" s="26"/>
      <c r="K609" s="25"/>
      <c r="L609" s="16"/>
      <c r="M609" s="16"/>
      <c r="N609" s="25"/>
      <c r="O609" s="30"/>
      <c r="P609" s="252">
        <f t="shared" si="178"/>
        <v>9990</v>
      </c>
      <c r="Q609" s="253">
        <f t="shared" si="179"/>
        <v>0</v>
      </c>
      <c r="R609" s="253">
        <f t="shared" si="180"/>
        <v>0</v>
      </c>
      <c r="S609" s="251">
        <f>SUMIFS('tuot-rehukirjanpito'!D:D,'tuot-rehukirjanpito'!A:A,A609)</f>
        <v>0</v>
      </c>
      <c r="T609" s="254">
        <f t="shared" si="174"/>
        <v>1098.9000000000001</v>
      </c>
      <c r="U609" s="254">
        <f t="shared" si="175"/>
        <v>1098.8999999999999</v>
      </c>
      <c r="V609" s="252">
        <f t="shared" si="176"/>
        <v>-667032.30000000761</v>
      </c>
      <c r="W609" s="255">
        <f t="shared" si="177"/>
        <v>-607.00000000000693</v>
      </c>
      <c r="X609" s="256" t="str">
        <f t="shared" si="181"/>
        <v/>
      </c>
      <c r="Y609" s="256" t="str">
        <f t="shared" si="182"/>
        <v/>
      </c>
      <c r="Z609" s="224" t="str">
        <f>IF(IFERROR(INDEX('tuot-rehukirjanpito'!I:I,MATCH(A609,'tuot-rehukirjanpito'!G:G,0)),)=0,"",INDEX('tuot-rehukirjanpito'!I:I,MATCH(A609,'tuot-rehukirjanpito'!G:G,0)))</f>
        <v/>
      </c>
      <c r="AA609" s="224">
        <f>SUMIFS('tuot-INFO'!$K$10:$K$115,'tuot-INFO'!$A$10:$A$115,'tuot-PVÄ'!B609)</f>
        <v>0</v>
      </c>
      <c r="AB609" s="224">
        <f>SUMIFS('rehu-vesi-INFO'!$R:$R,'rehu-vesi-INFO'!$A:$A,'tuot-PVÄ'!B609)</f>
        <v>1746</v>
      </c>
      <c r="AC609" s="224">
        <f>SUMIFS('rehu-vesi-INFO'!$S:$S,'rehu-vesi-INFO'!$A:$A,'tuot-PVÄ'!B609)</f>
        <v>1853</v>
      </c>
      <c r="AD609" s="224">
        <f t="shared" si="167"/>
        <v>107</v>
      </c>
      <c r="AE609" s="224">
        <f t="shared" si="168"/>
        <v>0</v>
      </c>
      <c r="AF609" s="224">
        <f t="shared" si="169"/>
        <v>174.6</v>
      </c>
      <c r="AG609" s="224">
        <f t="shared" si="170"/>
        <v>10.7</v>
      </c>
      <c r="AH609" s="257">
        <f t="shared" si="172"/>
        <v>0</v>
      </c>
      <c r="AI609" s="258">
        <f t="shared" si="173"/>
        <v>0</v>
      </c>
      <c r="AJ609" s="55">
        <f>SUMIFS('tuot-INFO'!W:W,'tuot-INFO'!$A:$A,'tuot-PVÄ'!B609)</f>
        <v>0</v>
      </c>
      <c r="AK609" s="55">
        <f>SUMIFS('tuot-INFO'!X:X,'tuot-INFO'!$A:$A,'tuot-PVÄ'!B609)</f>
        <v>0</v>
      </c>
    </row>
    <row r="610" spans="1:37" x14ac:dyDescent="0.25">
      <c r="A610" s="169">
        <f t="shared" si="171"/>
        <v>43096</v>
      </c>
      <c r="B610" s="23">
        <f>ROUNDUP((A610-Yleistiedot!$B$4)/7,0)</f>
        <v>104</v>
      </c>
      <c r="C610" s="16"/>
      <c r="D610" s="25"/>
      <c r="E610" s="25"/>
      <c r="F610" s="25"/>
      <c r="G610" s="25"/>
      <c r="H610" s="25"/>
      <c r="I610" s="65">
        <f t="shared" si="166"/>
        <v>0</v>
      </c>
      <c r="J610" s="26"/>
      <c r="K610" s="25"/>
      <c r="L610" s="16"/>
      <c r="M610" s="16"/>
      <c r="N610" s="25"/>
      <c r="O610" s="30"/>
      <c r="P610" s="252">
        <f t="shared" si="178"/>
        <v>9990</v>
      </c>
      <c r="Q610" s="253">
        <f t="shared" si="179"/>
        <v>0</v>
      </c>
      <c r="R610" s="253">
        <f t="shared" si="180"/>
        <v>0</v>
      </c>
      <c r="S610" s="251">
        <f>SUMIFS('tuot-rehukirjanpito'!D:D,'tuot-rehukirjanpito'!A:A,A610)</f>
        <v>0</v>
      </c>
      <c r="T610" s="254">
        <f t="shared" si="174"/>
        <v>1098.9000000000001</v>
      </c>
      <c r="U610" s="254">
        <f t="shared" si="175"/>
        <v>1098.8999999999999</v>
      </c>
      <c r="V610" s="252">
        <f t="shared" si="176"/>
        <v>-668131.20000000764</v>
      </c>
      <c r="W610" s="255">
        <f t="shared" si="177"/>
        <v>-608.00000000000693</v>
      </c>
      <c r="X610" s="256" t="str">
        <f t="shared" si="181"/>
        <v/>
      </c>
      <c r="Y610" s="256" t="str">
        <f t="shared" si="182"/>
        <v/>
      </c>
      <c r="Z610" s="224" t="str">
        <f>IF(IFERROR(INDEX('tuot-rehukirjanpito'!I:I,MATCH(A610,'tuot-rehukirjanpito'!G:G,0)),)=0,"",INDEX('tuot-rehukirjanpito'!I:I,MATCH(A610,'tuot-rehukirjanpito'!G:G,0)))</f>
        <v/>
      </c>
      <c r="AA610" s="224">
        <f>SUMIFS('tuot-INFO'!$K$10:$K$115,'tuot-INFO'!$A$10:$A$115,'tuot-PVÄ'!B610)</f>
        <v>0</v>
      </c>
      <c r="AB610" s="224">
        <f>SUMIFS('rehu-vesi-INFO'!$R:$R,'rehu-vesi-INFO'!$A:$A,'tuot-PVÄ'!B610)</f>
        <v>1746</v>
      </c>
      <c r="AC610" s="224">
        <f>SUMIFS('rehu-vesi-INFO'!$S:$S,'rehu-vesi-INFO'!$A:$A,'tuot-PVÄ'!B610)</f>
        <v>1853</v>
      </c>
      <c r="AD610" s="224">
        <f t="shared" si="167"/>
        <v>107</v>
      </c>
      <c r="AE610" s="224">
        <f t="shared" si="168"/>
        <v>0</v>
      </c>
      <c r="AF610" s="224">
        <f t="shared" si="169"/>
        <v>174.6</v>
      </c>
      <c r="AG610" s="224">
        <f t="shared" si="170"/>
        <v>10.7</v>
      </c>
      <c r="AH610" s="257">
        <f t="shared" si="172"/>
        <v>0</v>
      </c>
      <c r="AI610" s="258">
        <f t="shared" si="173"/>
        <v>0</v>
      </c>
      <c r="AJ610" s="55">
        <f>SUMIFS('tuot-INFO'!W:W,'tuot-INFO'!$A:$A,'tuot-PVÄ'!B610)</f>
        <v>0</v>
      </c>
      <c r="AK610" s="55">
        <f>SUMIFS('tuot-INFO'!X:X,'tuot-INFO'!$A:$A,'tuot-PVÄ'!B610)</f>
        <v>0</v>
      </c>
    </row>
    <row r="611" spans="1:37" x14ac:dyDescent="0.25">
      <c r="A611" s="169">
        <f t="shared" si="171"/>
        <v>43097</v>
      </c>
      <c r="B611" s="23">
        <f>ROUNDUP((A611-Yleistiedot!$B$4)/7,0)</f>
        <v>104</v>
      </c>
      <c r="C611" s="16"/>
      <c r="D611" s="25"/>
      <c r="E611" s="25"/>
      <c r="F611" s="25"/>
      <c r="G611" s="25"/>
      <c r="H611" s="25"/>
      <c r="I611" s="65">
        <f t="shared" si="166"/>
        <v>0</v>
      </c>
      <c r="J611" s="26"/>
      <c r="K611" s="25"/>
      <c r="L611" s="16"/>
      <c r="M611" s="16"/>
      <c r="N611" s="25"/>
      <c r="O611" s="30"/>
      <c r="P611" s="252">
        <f t="shared" si="178"/>
        <v>9990</v>
      </c>
      <c r="Q611" s="253">
        <f t="shared" si="179"/>
        <v>0</v>
      </c>
      <c r="R611" s="253">
        <f t="shared" si="180"/>
        <v>0</v>
      </c>
      <c r="S611" s="251">
        <f>SUMIFS('tuot-rehukirjanpito'!D:D,'tuot-rehukirjanpito'!A:A,A611)</f>
        <v>0</v>
      </c>
      <c r="T611" s="254">
        <f t="shared" si="174"/>
        <v>1098.9000000000001</v>
      </c>
      <c r="U611" s="254">
        <f t="shared" si="175"/>
        <v>1098.8999999999999</v>
      </c>
      <c r="V611" s="252">
        <f t="shared" si="176"/>
        <v>-669230.10000000766</v>
      </c>
      <c r="W611" s="255">
        <f t="shared" si="177"/>
        <v>-609.00000000000693</v>
      </c>
      <c r="X611" s="256" t="str">
        <f t="shared" si="181"/>
        <v/>
      </c>
      <c r="Y611" s="256" t="str">
        <f t="shared" si="182"/>
        <v/>
      </c>
      <c r="Z611" s="224" t="str">
        <f>IF(IFERROR(INDEX('tuot-rehukirjanpito'!I:I,MATCH(A611,'tuot-rehukirjanpito'!G:G,0)),)=0,"",INDEX('tuot-rehukirjanpito'!I:I,MATCH(A611,'tuot-rehukirjanpito'!G:G,0)))</f>
        <v/>
      </c>
      <c r="AA611" s="224">
        <f>SUMIFS('tuot-INFO'!$K$10:$K$115,'tuot-INFO'!$A$10:$A$115,'tuot-PVÄ'!B611)</f>
        <v>0</v>
      </c>
      <c r="AB611" s="224">
        <f>SUMIFS('rehu-vesi-INFO'!$R:$R,'rehu-vesi-INFO'!$A:$A,'tuot-PVÄ'!B611)</f>
        <v>1746</v>
      </c>
      <c r="AC611" s="224">
        <f>SUMIFS('rehu-vesi-INFO'!$S:$S,'rehu-vesi-INFO'!$A:$A,'tuot-PVÄ'!B611)</f>
        <v>1853</v>
      </c>
      <c r="AD611" s="224">
        <f t="shared" si="167"/>
        <v>107</v>
      </c>
      <c r="AE611" s="224">
        <f t="shared" si="168"/>
        <v>0</v>
      </c>
      <c r="AF611" s="224">
        <f t="shared" si="169"/>
        <v>174.6</v>
      </c>
      <c r="AG611" s="224">
        <f t="shared" si="170"/>
        <v>10.7</v>
      </c>
      <c r="AH611" s="257">
        <f t="shared" si="172"/>
        <v>0</v>
      </c>
      <c r="AI611" s="258">
        <f t="shared" si="173"/>
        <v>0</v>
      </c>
      <c r="AJ611" s="55">
        <f>SUMIFS('tuot-INFO'!W:W,'tuot-INFO'!$A:$A,'tuot-PVÄ'!B611)</f>
        <v>0</v>
      </c>
      <c r="AK611" s="55">
        <f>SUMIFS('tuot-INFO'!X:X,'tuot-INFO'!$A:$A,'tuot-PVÄ'!B611)</f>
        <v>0</v>
      </c>
    </row>
    <row r="612" spans="1:37" x14ac:dyDescent="0.25">
      <c r="A612" s="169">
        <f t="shared" si="171"/>
        <v>43098</v>
      </c>
      <c r="B612" s="23">
        <f>ROUNDUP((A612-Yleistiedot!$B$4)/7,0)</f>
        <v>104</v>
      </c>
      <c r="C612" s="16"/>
      <c r="D612" s="25"/>
      <c r="E612" s="25"/>
      <c r="F612" s="25"/>
      <c r="G612" s="25"/>
      <c r="H612" s="25"/>
      <c r="I612" s="65">
        <f t="shared" si="166"/>
        <v>0</v>
      </c>
      <c r="J612" s="26"/>
      <c r="K612" s="25"/>
      <c r="L612" s="16"/>
      <c r="M612" s="16"/>
      <c r="N612" s="25"/>
      <c r="O612" s="30"/>
      <c r="P612" s="252">
        <f t="shared" si="178"/>
        <v>9990</v>
      </c>
      <c r="Q612" s="253">
        <f t="shared" si="179"/>
        <v>0</v>
      </c>
      <c r="R612" s="253">
        <f t="shared" si="180"/>
        <v>0</v>
      </c>
      <c r="S612" s="251">
        <f>SUMIFS('tuot-rehukirjanpito'!D:D,'tuot-rehukirjanpito'!A:A,A612)</f>
        <v>0</v>
      </c>
      <c r="T612" s="254">
        <f t="shared" si="174"/>
        <v>1098.9000000000001</v>
      </c>
      <c r="U612" s="254">
        <f t="shared" si="175"/>
        <v>1098.8999999999999</v>
      </c>
      <c r="V612" s="252">
        <f t="shared" si="176"/>
        <v>-670329.00000000768</v>
      </c>
      <c r="W612" s="255">
        <f t="shared" si="177"/>
        <v>-610.00000000000693</v>
      </c>
      <c r="X612" s="256" t="str">
        <f t="shared" si="181"/>
        <v/>
      </c>
      <c r="Y612" s="256" t="str">
        <f t="shared" si="182"/>
        <v/>
      </c>
      <c r="Z612" s="224" t="str">
        <f>IF(IFERROR(INDEX('tuot-rehukirjanpito'!I:I,MATCH(A612,'tuot-rehukirjanpito'!G:G,0)),)=0,"",INDEX('tuot-rehukirjanpito'!I:I,MATCH(A612,'tuot-rehukirjanpito'!G:G,0)))</f>
        <v/>
      </c>
      <c r="AA612" s="224">
        <f>SUMIFS('tuot-INFO'!$K$10:$K$115,'tuot-INFO'!$A$10:$A$115,'tuot-PVÄ'!B612)</f>
        <v>0</v>
      </c>
      <c r="AB612" s="224">
        <f>SUMIFS('rehu-vesi-INFO'!$R:$R,'rehu-vesi-INFO'!$A:$A,'tuot-PVÄ'!B612)</f>
        <v>1746</v>
      </c>
      <c r="AC612" s="224">
        <f>SUMIFS('rehu-vesi-INFO'!$S:$S,'rehu-vesi-INFO'!$A:$A,'tuot-PVÄ'!B612)</f>
        <v>1853</v>
      </c>
      <c r="AD612" s="224">
        <f t="shared" si="167"/>
        <v>107</v>
      </c>
      <c r="AE612" s="224">
        <f t="shared" si="168"/>
        <v>0</v>
      </c>
      <c r="AF612" s="224">
        <f t="shared" si="169"/>
        <v>174.6</v>
      </c>
      <c r="AG612" s="224">
        <f t="shared" si="170"/>
        <v>10.7</v>
      </c>
      <c r="AH612" s="257">
        <f t="shared" si="172"/>
        <v>0</v>
      </c>
      <c r="AI612" s="258">
        <f t="shared" si="173"/>
        <v>0</v>
      </c>
      <c r="AJ612" s="55">
        <f>SUMIFS('tuot-INFO'!W:W,'tuot-INFO'!$A:$A,'tuot-PVÄ'!B612)</f>
        <v>0</v>
      </c>
      <c r="AK612" s="55">
        <f>SUMIFS('tuot-INFO'!X:X,'tuot-INFO'!$A:$A,'tuot-PVÄ'!B612)</f>
        <v>0</v>
      </c>
    </row>
    <row r="613" spans="1:37" x14ac:dyDescent="0.25">
      <c r="A613" s="169">
        <f t="shared" si="171"/>
        <v>43099</v>
      </c>
      <c r="B613" s="23">
        <f>ROUNDUP((A613-Yleistiedot!$B$4)/7,0)</f>
        <v>105</v>
      </c>
      <c r="C613" s="16"/>
      <c r="D613" s="25"/>
      <c r="E613" s="25"/>
      <c r="F613" s="25"/>
      <c r="G613" s="25"/>
      <c r="H613" s="25"/>
      <c r="I613" s="65">
        <f t="shared" si="166"/>
        <v>0</v>
      </c>
      <c r="J613" s="26"/>
      <c r="K613" s="25"/>
      <c r="L613" s="16"/>
      <c r="M613" s="16"/>
      <c r="N613" s="25"/>
      <c r="O613" s="30"/>
      <c r="P613" s="252">
        <f t="shared" si="178"/>
        <v>9990</v>
      </c>
      <c r="Q613" s="253">
        <f t="shared" si="179"/>
        <v>0</v>
      </c>
      <c r="R613" s="253">
        <f t="shared" si="180"/>
        <v>0</v>
      </c>
      <c r="S613" s="251">
        <f>SUMIFS('tuot-rehukirjanpito'!D:D,'tuot-rehukirjanpito'!A:A,A613)</f>
        <v>0</v>
      </c>
      <c r="T613" s="254">
        <f t="shared" si="174"/>
        <v>1098.9000000000001</v>
      </c>
      <c r="U613" s="254">
        <f t="shared" si="175"/>
        <v>1098.8999999999999</v>
      </c>
      <c r="V613" s="252">
        <f t="shared" si="176"/>
        <v>-671427.90000000771</v>
      </c>
      <c r="W613" s="255">
        <f t="shared" si="177"/>
        <v>-611.00000000000693</v>
      </c>
      <c r="X613" s="256" t="str">
        <f t="shared" si="181"/>
        <v/>
      </c>
      <c r="Y613" s="256" t="str">
        <f t="shared" si="182"/>
        <v/>
      </c>
      <c r="Z613" s="224" t="str">
        <f>IF(IFERROR(INDEX('tuot-rehukirjanpito'!I:I,MATCH(A613,'tuot-rehukirjanpito'!G:G,0)),)=0,"",INDEX('tuot-rehukirjanpito'!I:I,MATCH(A613,'tuot-rehukirjanpito'!G:G,0)))</f>
        <v/>
      </c>
      <c r="AA613" s="224">
        <f>SUMIFS('tuot-INFO'!$K$10:$K$115,'tuot-INFO'!$A$10:$A$115,'tuot-PVÄ'!B613)</f>
        <v>0</v>
      </c>
      <c r="AB613" s="224">
        <f>SUMIFS('rehu-vesi-INFO'!$R:$R,'rehu-vesi-INFO'!$A:$A,'tuot-PVÄ'!B613)</f>
        <v>1746</v>
      </c>
      <c r="AC613" s="224">
        <f>SUMIFS('rehu-vesi-INFO'!$S:$S,'rehu-vesi-INFO'!$A:$A,'tuot-PVÄ'!B613)</f>
        <v>1853</v>
      </c>
      <c r="AD613" s="224">
        <f t="shared" si="167"/>
        <v>107</v>
      </c>
      <c r="AE613" s="224">
        <f t="shared" si="168"/>
        <v>0</v>
      </c>
      <c r="AF613" s="224">
        <f t="shared" si="169"/>
        <v>174.6</v>
      </c>
      <c r="AG613" s="224">
        <f t="shared" si="170"/>
        <v>10.7</v>
      </c>
      <c r="AH613" s="257">
        <f t="shared" si="172"/>
        <v>0</v>
      </c>
      <c r="AI613" s="258">
        <f t="shared" si="173"/>
        <v>0</v>
      </c>
      <c r="AJ613" s="55">
        <f>SUMIFS('tuot-INFO'!W:W,'tuot-INFO'!$A:$A,'tuot-PVÄ'!B613)</f>
        <v>0</v>
      </c>
      <c r="AK613" s="55">
        <f>SUMIFS('tuot-INFO'!X:X,'tuot-INFO'!$A:$A,'tuot-PVÄ'!B613)</f>
        <v>0</v>
      </c>
    </row>
    <row r="614" spans="1:37" x14ac:dyDescent="0.25">
      <c r="A614" s="169">
        <f t="shared" si="171"/>
        <v>43100</v>
      </c>
      <c r="B614" s="23">
        <f>ROUNDUP((A614-Yleistiedot!$B$4)/7,0)</f>
        <v>105</v>
      </c>
      <c r="C614" s="16"/>
      <c r="D614" s="25"/>
      <c r="E614" s="25"/>
      <c r="F614" s="25"/>
      <c r="G614" s="25"/>
      <c r="H614" s="25"/>
      <c r="I614" s="65">
        <f t="shared" si="166"/>
        <v>0</v>
      </c>
      <c r="J614" s="26"/>
      <c r="K614" s="25"/>
      <c r="L614" s="16"/>
      <c r="M614" s="16"/>
      <c r="N614" s="25"/>
      <c r="O614" s="30"/>
      <c r="P614" s="252">
        <f t="shared" si="178"/>
        <v>9990</v>
      </c>
      <c r="Q614" s="253">
        <f t="shared" si="179"/>
        <v>0</v>
      </c>
      <c r="R614" s="253">
        <f t="shared" si="180"/>
        <v>0</v>
      </c>
      <c r="S614" s="251">
        <f>SUMIFS('tuot-rehukirjanpito'!D:D,'tuot-rehukirjanpito'!A:A,A614)</f>
        <v>0</v>
      </c>
      <c r="T614" s="254">
        <f t="shared" si="174"/>
        <v>1098.9000000000001</v>
      </c>
      <c r="U614" s="254">
        <f t="shared" si="175"/>
        <v>1098.8999999999999</v>
      </c>
      <c r="V614" s="252">
        <f t="shared" si="176"/>
        <v>-672526.80000000773</v>
      </c>
      <c r="W614" s="255">
        <f t="shared" si="177"/>
        <v>-612.00000000000693</v>
      </c>
      <c r="X614" s="256" t="str">
        <f t="shared" si="181"/>
        <v/>
      </c>
      <c r="Y614" s="256" t="str">
        <f t="shared" si="182"/>
        <v/>
      </c>
      <c r="Z614" s="224" t="str">
        <f>IF(IFERROR(INDEX('tuot-rehukirjanpito'!I:I,MATCH(A614,'tuot-rehukirjanpito'!G:G,0)),)=0,"",INDEX('tuot-rehukirjanpito'!I:I,MATCH(A614,'tuot-rehukirjanpito'!G:G,0)))</f>
        <v/>
      </c>
      <c r="AA614" s="224">
        <f>SUMIFS('tuot-INFO'!$K$10:$K$115,'tuot-INFO'!$A$10:$A$115,'tuot-PVÄ'!B614)</f>
        <v>0</v>
      </c>
      <c r="AB614" s="224">
        <f>SUMIFS('rehu-vesi-INFO'!$R:$R,'rehu-vesi-INFO'!$A:$A,'tuot-PVÄ'!B614)</f>
        <v>1746</v>
      </c>
      <c r="AC614" s="224">
        <f>SUMIFS('rehu-vesi-INFO'!$S:$S,'rehu-vesi-INFO'!$A:$A,'tuot-PVÄ'!B614)</f>
        <v>1853</v>
      </c>
      <c r="AD614" s="224">
        <f t="shared" si="167"/>
        <v>107</v>
      </c>
      <c r="AE614" s="224">
        <f t="shared" si="168"/>
        <v>0</v>
      </c>
      <c r="AF614" s="224">
        <f t="shared" si="169"/>
        <v>174.6</v>
      </c>
      <c r="AG614" s="224">
        <f t="shared" si="170"/>
        <v>10.7</v>
      </c>
      <c r="AH614" s="257">
        <f t="shared" si="172"/>
        <v>0</v>
      </c>
      <c r="AI614" s="258">
        <f t="shared" si="173"/>
        <v>0</v>
      </c>
      <c r="AJ614" s="55">
        <f>SUMIFS('tuot-INFO'!W:W,'tuot-INFO'!$A:$A,'tuot-PVÄ'!B614)</f>
        <v>0</v>
      </c>
      <c r="AK614" s="55">
        <f>SUMIFS('tuot-INFO'!X:X,'tuot-INFO'!$A:$A,'tuot-PVÄ'!B614)</f>
        <v>0</v>
      </c>
    </row>
    <row r="615" spans="1:37" x14ac:dyDescent="0.25">
      <c r="A615" s="169">
        <f t="shared" si="171"/>
        <v>43101</v>
      </c>
      <c r="B615" s="23">
        <f>ROUNDUP((A615-Yleistiedot!$B$4)/7,0)</f>
        <v>105</v>
      </c>
      <c r="C615" s="16"/>
      <c r="D615" s="25"/>
      <c r="E615" s="25"/>
      <c r="F615" s="25"/>
      <c r="G615" s="25"/>
      <c r="H615" s="25"/>
      <c r="I615" s="65">
        <f t="shared" si="166"/>
        <v>0</v>
      </c>
      <c r="J615" s="26"/>
      <c r="K615" s="25"/>
      <c r="L615" s="16"/>
      <c r="M615" s="16"/>
      <c r="N615" s="25"/>
      <c r="O615" s="30"/>
      <c r="P615" s="252">
        <f t="shared" si="178"/>
        <v>9990</v>
      </c>
      <c r="Q615" s="253">
        <f t="shared" si="179"/>
        <v>0</v>
      </c>
      <c r="R615" s="253">
        <f t="shared" si="180"/>
        <v>0</v>
      </c>
      <c r="S615" s="251">
        <f>SUMIFS('tuot-rehukirjanpito'!D:D,'tuot-rehukirjanpito'!A:A,A615)</f>
        <v>0</v>
      </c>
      <c r="T615" s="254">
        <f t="shared" si="174"/>
        <v>1098.9000000000001</v>
      </c>
      <c r="U615" s="254">
        <f t="shared" si="175"/>
        <v>1098.8999999999999</v>
      </c>
      <c r="V615" s="252">
        <f t="shared" si="176"/>
        <v>-673625.70000000775</v>
      </c>
      <c r="W615" s="255">
        <f t="shared" si="177"/>
        <v>-613.00000000000705</v>
      </c>
      <c r="X615" s="256" t="str">
        <f t="shared" si="181"/>
        <v/>
      </c>
      <c r="Y615" s="256" t="str">
        <f t="shared" si="182"/>
        <v/>
      </c>
      <c r="Z615" s="224" t="str">
        <f>IF(IFERROR(INDEX('tuot-rehukirjanpito'!I:I,MATCH(A615,'tuot-rehukirjanpito'!G:G,0)),)=0,"",INDEX('tuot-rehukirjanpito'!I:I,MATCH(A615,'tuot-rehukirjanpito'!G:G,0)))</f>
        <v/>
      </c>
      <c r="AA615" s="224">
        <f>SUMIFS('tuot-INFO'!$K$10:$K$115,'tuot-INFO'!$A$10:$A$115,'tuot-PVÄ'!B615)</f>
        <v>0</v>
      </c>
      <c r="AB615" s="224">
        <f>SUMIFS('rehu-vesi-INFO'!$R:$R,'rehu-vesi-INFO'!$A:$A,'tuot-PVÄ'!B615)</f>
        <v>1746</v>
      </c>
      <c r="AC615" s="224">
        <f>SUMIFS('rehu-vesi-INFO'!$S:$S,'rehu-vesi-INFO'!$A:$A,'tuot-PVÄ'!B615)</f>
        <v>1853</v>
      </c>
      <c r="AD615" s="224">
        <f t="shared" si="167"/>
        <v>107</v>
      </c>
      <c r="AE615" s="224">
        <f t="shared" si="168"/>
        <v>0</v>
      </c>
      <c r="AF615" s="224">
        <f t="shared" si="169"/>
        <v>174.6</v>
      </c>
      <c r="AG615" s="224">
        <f t="shared" si="170"/>
        <v>10.7</v>
      </c>
      <c r="AH615" s="257">
        <f t="shared" si="172"/>
        <v>0</v>
      </c>
      <c r="AI615" s="258">
        <f t="shared" si="173"/>
        <v>0</v>
      </c>
      <c r="AJ615" s="55">
        <f>SUMIFS('tuot-INFO'!W:W,'tuot-INFO'!$A:$A,'tuot-PVÄ'!B615)</f>
        <v>0</v>
      </c>
      <c r="AK615" s="55">
        <f>SUMIFS('tuot-INFO'!X:X,'tuot-INFO'!$A:$A,'tuot-PVÄ'!B615)</f>
        <v>0</v>
      </c>
    </row>
    <row r="616" spans="1:37" x14ac:dyDescent="0.25">
      <c r="A616" s="169">
        <f t="shared" si="171"/>
        <v>43102</v>
      </c>
      <c r="B616" s="23">
        <f>ROUNDUP((A616-Yleistiedot!$B$4)/7,0)</f>
        <v>105</v>
      </c>
      <c r="C616" s="16"/>
      <c r="D616" s="25"/>
      <c r="E616" s="25"/>
      <c r="F616" s="25"/>
      <c r="G616" s="25"/>
      <c r="H616" s="25"/>
      <c r="I616" s="65">
        <f t="shared" si="166"/>
        <v>0</v>
      </c>
      <c r="J616" s="26"/>
      <c r="K616" s="25"/>
      <c r="L616" s="16"/>
      <c r="M616" s="16"/>
      <c r="N616" s="25"/>
      <c r="O616" s="30"/>
      <c r="P616" s="252">
        <f t="shared" si="178"/>
        <v>9990</v>
      </c>
      <c r="Q616" s="253">
        <f t="shared" si="179"/>
        <v>0</v>
      </c>
      <c r="R616" s="253">
        <f t="shared" si="180"/>
        <v>0</v>
      </c>
      <c r="S616" s="251">
        <f>SUMIFS('tuot-rehukirjanpito'!D:D,'tuot-rehukirjanpito'!A:A,A616)</f>
        <v>0</v>
      </c>
      <c r="T616" s="254">
        <f t="shared" si="174"/>
        <v>1098.9000000000001</v>
      </c>
      <c r="U616" s="254">
        <f t="shared" si="175"/>
        <v>1098.8999999999999</v>
      </c>
      <c r="V616" s="252">
        <f t="shared" si="176"/>
        <v>-674724.60000000778</v>
      </c>
      <c r="W616" s="255">
        <f t="shared" si="177"/>
        <v>-614.00000000000705</v>
      </c>
      <c r="X616" s="256" t="str">
        <f t="shared" si="181"/>
        <v/>
      </c>
      <c r="Y616" s="256" t="str">
        <f t="shared" si="182"/>
        <v/>
      </c>
      <c r="Z616" s="224" t="str">
        <f>IF(IFERROR(INDEX('tuot-rehukirjanpito'!I:I,MATCH(A616,'tuot-rehukirjanpito'!G:G,0)),)=0,"",INDEX('tuot-rehukirjanpito'!I:I,MATCH(A616,'tuot-rehukirjanpito'!G:G,0)))</f>
        <v/>
      </c>
      <c r="AA616" s="224">
        <f>SUMIFS('tuot-INFO'!$K$10:$K$115,'tuot-INFO'!$A$10:$A$115,'tuot-PVÄ'!B616)</f>
        <v>0</v>
      </c>
      <c r="AB616" s="224">
        <f>SUMIFS('rehu-vesi-INFO'!$R:$R,'rehu-vesi-INFO'!$A:$A,'tuot-PVÄ'!B616)</f>
        <v>1746</v>
      </c>
      <c r="AC616" s="224">
        <f>SUMIFS('rehu-vesi-INFO'!$S:$S,'rehu-vesi-INFO'!$A:$A,'tuot-PVÄ'!B616)</f>
        <v>1853</v>
      </c>
      <c r="AD616" s="224">
        <f t="shared" si="167"/>
        <v>107</v>
      </c>
      <c r="AE616" s="224">
        <f t="shared" si="168"/>
        <v>0</v>
      </c>
      <c r="AF616" s="224">
        <f t="shared" si="169"/>
        <v>174.6</v>
      </c>
      <c r="AG616" s="224">
        <f t="shared" si="170"/>
        <v>10.7</v>
      </c>
      <c r="AH616" s="257">
        <f t="shared" si="172"/>
        <v>0</v>
      </c>
      <c r="AI616" s="258">
        <f t="shared" si="173"/>
        <v>0</v>
      </c>
      <c r="AJ616" s="55">
        <f>SUMIFS('tuot-INFO'!W:W,'tuot-INFO'!$A:$A,'tuot-PVÄ'!B616)</f>
        <v>0</v>
      </c>
      <c r="AK616" s="55">
        <f>SUMIFS('tuot-INFO'!X:X,'tuot-INFO'!$A:$A,'tuot-PVÄ'!B616)</f>
        <v>0</v>
      </c>
    </row>
    <row r="617" spans="1:37" x14ac:dyDescent="0.25">
      <c r="A617" s="169">
        <f t="shared" si="171"/>
        <v>43103</v>
      </c>
      <c r="B617" s="23">
        <f>ROUNDUP((A617-Yleistiedot!$B$4)/7,0)</f>
        <v>105</v>
      </c>
      <c r="C617" s="16"/>
      <c r="D617" s="25"/>
      <c r="E617" s="25"/>
      <c r="F617" s="25"/>
      <c r="G617" s="25"/>
      <c r="H617" s="25"/>
      <c r="I617" s="65">
        <f t="shared" si="166"/>
        <v>0</v>
      </c>
      <c r="J617" s="26"/>
      <c r="K617" s="25"/>
      <c r="L617" s="16"/>
      <c r="M617" s="16"/>
      <c r="N617" s="25"/>
      <c r="O617" s="30"/>
      <c r="P617" s="252">
        <f t="shared" si="178"/>
        <v>9990</v>
      </c>
      <c r="Q617" s="253">
        <f t="shared" si="179"/>
        <v>0</v>
      </c>
      <c r="R617" s="253">
        <f t="shared" si="180"/>
        <v>0</v>
      </c>
      <c r="S617" s="251">
        <f>SUMIFS('tuot-rehukirjanpito'!D:D,'tuot-rehukirjanpito'!A:A,A617)</f>
        <v>0</v>
      </c>
      <c r="T617" s="254">
        <f t="shared" si="174"/>
        <v>1098.9000000000001</v>
      </c>
      <c r="U617" s="254">
        <f t="shared" si="175"/>
        <v>1098.8999999999999</v>
      </c>
      <c r="V617" s="252">
        <f t="shared" si="176"/>
        <v>-675823.5000000078</v>
      </c>
      <c r="W617" s="255">
        <f t="shared" si="177"/>
        <v>-615.00000000000705</v>
      </c>
      <c r="X617" s="256" t="str">
        <f t="shared" si="181"/>
        <v/>
      </c>
      <c r="Y617" s="256" t="str">
        <f t="shared" si="182"/>
        <v/>
      </c>
      <c r="Z617" s="224" t="str">
        <f>IF(IFERROR(INDEX('tuot-rehukirjanpito'!I:I,MATCH(A617,'tuot-rehukirjanpito'!G:G,0)),)=0,"",INDEX('tuot-rehukirjanpito'!I:I,MATCH(A617,'tuot-rehukirjanpito'!G:G,0)))</f>
        <v/>
      </c>
      <c r="AA617" s="224">
        <f>SUMIFS('tuot-INFO'!$K$10:$K$115,'tuot-INFO'!$A$10:$A$115,'tuot-PVÄ'!B617)</f>
        <v>0</v>
      </c>
      <c r="AB617" s="224">
        <f>SUMIFS('rehu-vesi-INFO'!$R:$R,'rehu-vesi-INFO'!$A:$A,'tuot-PVÄ'!B617)</f>
        <v>1746</v>
      </c>
      <c r="AC617" s="224">
        <f>SUMIFS('rehu-vesi-INFO'!$S:$S,'rehu-vesi-INFO'!$A:$A,'tuot-PVÄ'!B617)</f>
        <v>1853</v>
      </c>
      <c r="AD617" s="224">
        <f t="shared" si="167"/>
        <v>107</v>
      </c>
      <c r="AE617" s="224">
        <f t="shared" si="168"/>
        <v>0</v>
      </c>
      <c r="AF617" s="224">
        <f t="shared" si="169"/>
        <v>174.6</v>
      </c>
      <c r="AG617" s="224">
        <f t="shared" si="170"/>
        <v>10.7</v>
      </c>
      <c r="AH617" s="257">
        <f t="shared" si="172"/>
        <v>0</v>
      </c>
      <c r="AI617" s="258">
        <f t="shared" si="173"/>
        <v>0</v>
      </c>
      <c r="AJ617" s="55">
        <f>SUMIFS('tuot-INFO'!W:W,'tuot-INFO'!$A:$A,'tuot-PVÄ'!B617)</f>
        <v>0</v>
      </c>
      <c r="AK617" s="55">
        <f>SUMIFS('tuot-INFO'!X:X,'tuot-INFO'!$A:$A,'tuot-PVÄ'!B617)</f>
        <v>0</v>
      </c>
    </row>
    <row r="618" spans="1:37" x14ac:dyDescent="0.25">
      <c r="A618" s="169">
        <f t="shared" si="171"/>
        <v>43104</v>
      </c>
      <c r="B618" s="23">
        <f>ROUNDUP((A618-Yleistiedot!$B$4)/7,0)</f>
        <v>105</v>
      </c>
      <c r="C618" s="16"/>
      <c r="D618" s="25"/>
      <c r="E618" s="25"/>
      <c r="F618" s="25"/>
      <c r="G618" s="25"/>
      <c r="H618" s="25"/>
      <c r="I618" s="65">
        <f t="shared" si="166"/>
        <v>0</v>
      </c>
      <c r="J618" s="26"/>
      <c r="K618" s="25"/>
      <c r="L618" s="16"/>
      <c r="M618" s="16"/>
      <c r="N618" s="25"/>
      <c r="O618" s="30"/>
      <c r="P618" s="252">
        <f t="shared" si="178"/>
        <v>9990</v>
      </c>
      <c r="Q618" s="253">
        <f t="shared" si="179"/>
        <v>0</v>
      </c>
      <c r="R618" s="253">
        <f t="shared" si="180"/>
        <v>0</v>
      </c>
      <c r="S618" s="251">
        <f>SUMIFS('tuot-rehukirjanpito'!D:D,'tuot-rehukirjanpito'!A:A,A618)</f>
        <v>0</v>
      </c>
      <c r="T618" s="254">
        <f t="shared" si="174"/>
        <v>1098.9000000000001</v>
      </c>
      <c r="U618" s="254">
        <f t="shared" si="175"/>
        <v>1098.8999999999999</v>
      </c>
      <c r="V618" s="252">
        <f t="shared" si="176"/>
        <v>-676922.40000000782</v>
      </c>
      <c r="W618" s="255">
        <f t="shared" si="177"/>
        <v>-616.00000000000705</v>
      </c>
      <c r="X618" s="256" t="str">
        <f t="shared" si="181"/>
        <v/>
      </c>
      <c r="Y618" s="256" t="str">
        <f t="shared" si="182"/>
        <v/>
      </c>
      <c r="Z618" s="224" t="str">
        <f>IF(IFERROR(INDEX('tuot-rehukirjanpito'!I:I,MATCH(A618,'tuot-rehukirjanpito'!G:G,0)),)=0,"",INDEX('tuot-rehukirjanpito'!I:I,MATCH(A618,'tuot-rehukirjanpito'!G:G,0)))</f>
        <v/>
      </c>
      <c r="AA618" s="224">
        <f>SUMIFS('tuot-INFO'!$K$10:$K$115,'tuot-INFO'!$A$10:$A$115,'tuot-PVÄ'!B618)</f>
        <v>0</v>
      </c>
      <c r="AB618" s="224">
        <f>SUMIFS('rehu-vesi-INFO'!$R:$R,'rehu-vesi-INFO'!$A:$A,'tuot-PVÄ'!B618)</f>
        <v>1746</v>
      </c>
      <c r="AC618" s="224">
        <f>SUMIFS('rehu-vesi-INFO'!$S:$S,'rehu-vesi-INFO'!$A:$A,'tuot-PVÄ'!B618)</f>
        <v>1853</v>
      </c>
      <c r="AD618" s="224">
        <f t="shared" si="167"/>
        <v>107</v>
      </c>
      <c r="AE618" s="224">
        <f t="shared" si="168"/>
        <v>0</v>
      </c>
      <c r="AF618" s="224">
        <f t="shared" si="169"/>
        <v>174.6</v>
      </c>
      <c r="AG618" s="224">
        <f t="shared" si="170"/>
        <v>10.7</v>
      </c>
      <c r="AH618" s="257">
        <f t="shared" si="172"/>
        <v>0</v>
      </c>
      <c r="AI618" s="258">
        <f t="shared" si="173"/>
        <v>0</v>
      </c>
      <c r="AJ618" s="55">
        <f>SUMIFS('tuot-INFO'!W:W,'tuot-INFO'!$A:$A,'tuot-PVÄ'!B618)</f>
        <v>0</v>
      </c>
      <c r="AK618" s="55">
        <f>SUMIFS('tuot-INFO'!X:X,'tuot-INFO'!$A:$A,'tuot-PVÄ'!B618)</f>
        <v>0</v>
      </c>
    </row>
    <row r="619" spans="1:37" x14ac:dyDescent="0.25">
      <c r="A619" s="169">
        <f t="shared" si="171"/>
        <v>43105</v>
      </c>
      <c r="B619" s="23">
        <f>ROUNDUP((A619-Yleistiedot!$B$4)/7,0)</f>
        <v>105</v>
      </c>
      <c r="C619" s="16"/>
      <c r="D619" s="25"/>
      <c r="E619" s="25"/>
      <c r="F619" s="25"/>
      <c r="G619" s="25"/>
      <c r="H619" s="25"/>
      <c r="I619" s="65">
        <f t="shared" si="166"/>
        <v>0</v>
      </c>
      <c r="J619" s="26"/>
      <c r="K619" s="25"/>
      <c r="L619" s="16"/>
      <c r="M619" s="16"/>
      <c r="N619" s="25"/>
      <c r="O619" s="30"/>
      <c r="P619" s="252">
        <f t="shared" si="178"/>
        <v>9990</v>
      </c>
      <c r="Q619" s="253">
        <f t="shared" si="179"/>
        <v>0</v>
      </c>
      <c r="R619" s="253">
        <f t="shared" si="180"/>
        <v>0</v>
      </c>
      <c r="S619" s="251">
        <f>SUMIFS('tuot-rehukirjanpito'!D:D,'tuot-rehukirjanpito'!A:A,A619)</f>
        <v>0</v>
      </c>
      <c r="T619" s="254">
        <f t="shared" si="174"/>
        <v>1098.9000000000001</v>
      </c>
      <c r="U619" s="254">
        <f t="shared" si="175"/>
        <v>1098.8999999999999</v>
      </c>
      <c r="V619" s="252">
        <f t="shared" si="176"/>
        <v>-678021.30000000785</v>
      </c>
      <c r="W619" s="255">
        <f t="shared" si="177"/>
        <v>-617.00000000000705</v>
      </c>
      <c r="X619" s="256" t="str">
        <f t="shared" si="181"/>
        <v/>
      </c>
      <c r="Y619" s="256" t="str">
        <f t="shared" si="182"/>
        <v/>
      </c>
      <c r="Z619" s="224" t="str">
        <f>IF(IFERROR(INDEX('tuot-rehukirjanpito'!I:I,MATCH(A619,'tuot-rehukirjanpito'!G:G,0)),)=0,"",INDEX('tuot-rehukirjanpito'!I:I,MATCH(A619,'tuot-rehukirjanpito'!G:G,0)))</f>
        <v/>
      </c>
      <c r="AA619" s="224">
        <f>SUMIFS('tuot-INFO'!$K$10:$K$115,'tuot-INFO'!$A$10:$A$115,'tuot-PVÄ'!B619)</f>
        <v>0</v>
      </c>
      <c r="AB619" s="224">
        <f>SUMIFS('rehu-vesi-INFO'!$R:$R,'rehu-vesi-INFO'!$A:$A,'tuot-PVÄ'!B619)</f>
        <v>1746</v>
      </c>
      <c r="AC619" s="224">
        <f>SUMIFS('rehu-vesi-INFO'!$S:$S,'rehu-vesi-INFO'!$A:$A,'tuot-PVÄ'!B619)</f>
        <v>1853</v>
      </c>
      <c r="AD619" s="224">
        <f t="shared" si="167"/>
        <v>107</v>
      </c>
      <c r="AE619" s="224">
        <f t="shared" si="168"/>
        <v>0</v>
      </c>
      <c r="AF619" s="224">
        <f t="shared" si="169"/>
        <v>174.6</v>
      </c>
      <c r="AG619" s="224">
        <f t="shared" si="170"/>
        <v>10.7</v>
      </c>
      <c r="AH619" s="257">
        <f t="shared" si="172"/>
        <v>0</v>
      </c>
      <c r="AI619" s="258">
        <f t="shared" si="173"/>
        <v>0</v>
      </c>
      <c r="AJ619" s="55">
        <f>SUMIFS('tuot-INFO'!W:W,'tuot-INFO'!$A:$A,'tuot-PVÄ'!B619)</f>
        <v>0</v>
      </c>
      <c r="AK619" s="55">
        <f>SUMIFS('tuot-INFO'!X:X,'tuot-INFO'!$A:$A,'tuot-PVÄ'!B619)</f>
        <v>0</v>
      </c>
    </row>
    <row r="620" spans="1:37" x14ac:dyDescent="0.25">
      <c r="A620" s="169">
        <f t="shared" si="171"/>
        <v>43106</v>
      </c>
      <c r="B620" s="23">
        <f>ROUNDUP((A620-Yleistiedot!$B$4)/7,0)</f>
        <v>106</v>
      </c>
      <c r="C620" s="16"/>
      <c r="D620" s="25"/>
      <c r="E620" s="25"/>
      <c r="F620" s="25"/>
      <c r="G620" s="25"/>
      <c r="H620" s="25"/>
      <c r="I620" s="65">
        <f t="shared" si="166"/>
        <v>0</v>
      </c>
      <c r="J620" s="26"/>
      <c r="K620" s="25"/>
      <c r="L620" s="16"/>
      <c r="M620" s="16"/>
      <c r="N620" s="25"/>
      <c r="O620" s="30"/>
      <c r="P620" s="252">
        <f t="shared" si="178"/>
        <v>9990</v>
      </c>
      <c r="Q620" s="253">
        <f t="shared" si="179"/>
        <v>0</v>
      </c>
      <c r="R620" s="253">
        <f t="shared" si="180"/>
        <v>0</v>
      </c>
      <c r="S620" s="251">
        <f>SUMIFS('tuot-rehukirjanpito'!D:D,'tuot-rehukirjanpito'!A:A,A620)</f>
        <v>0</v>
      </c>
      <c r="T620" s="254">
        <f t="shared" si="174"/>
        <v>1098.9000000000001</v>
      </c>
      <c r="U620" s="254">
        <f t="shared" si="175"/>
        <v>1098.8999999999999</v>
      </c>
      <c r="V620" s="252">
        <f t="shared" si="176"/>
        <v>-679120.20000000787</v>
      </c>
      <c r="W620" s="255">
        <f t="shared" si="177"/>
        <v>-618.00000000000716</v>
      </c>
      <c r="X620" s="256" t="str">
        <f t="shared" si="181"/>
        <v/>
      </c>
      <c r="Y620" s="256" t="str">
        <f t="shared" si="182"/>
        <v/>
      </c>
      <c r="Z620" s="224" t="str">
        <f>IF(IFERROR(INDEX('tuot-rehukirjanpito'!I:I,MATCH(A620,'tuot-rehukirjanpito'!G:G,0)),)=0,"",INDEX('tuot-rehukirjanpito'!I:I,MATCH(A620,'tuot-rehukirjanpito'!G:G,0)))</f>
        <v/>
      </c>
      <c r="AA620" s="224">
        <f>SUMIFS('tuot-INFO'!$K$10:$K$115,'tuot-INFO'!$A$10:$A$115,'tuot-PVÄ'!B620)</f>
        <v>0</v>
      </c>
      <c r="AB620" s="224">
        <f>SUMIFS('rehu-vesi-INFO'!$R:$R,'rehu-vesi-INFO'!$A:$A,'tuot-PVÄ'!B620)</f>
        <v>1746</v>
      </c>
      <c r="AC620" s="224">
        <f>SUMIFS('rehu-vesi-INFO'!$S:$S,'rehu-vesi-INFO'!$A:$A,'tuot-PVÄ'!B620)</f>
        <v>1853</v>
      </c>
      <c r="AD620" s="224">
        <f t="shared" si="167"/>
        <v>107</v>
      </c>
      <c r="AE620" s="224">
        <f t="shared" si="168"/>
        <v>0</v>
      </c>
      <c r="AF620" s="224">
        <f t="shared" si="169"/>
        <v>174.6</v>
      </c>
      <c r="AG620" s="224">
        <f t="shared" si="170"/>
        <v>10.7</v>
      </c>
      <c r="AH620" s="257">
        <f t="shared" si="172"/>
        <v>0</v>
      </c>
      <c r="AI620" s="258">
        <f t="shared" si="173"/>
        <v>0</v>
      </c>
      <c r="AJ620" s="55">
        <f>SUMIFS('tuot-INFO'!W:W,'tuot-INFO'!$A:$A,'tuot-PVÄ'!B620)</f>
        <v>0</v>
      </c>
      <c r="AK620" s="55">
        <f>SUMIFS('tuot-INFO'!X:X,'tuot-INFO'!$A:$A,'tuot-PVÄ'!B620)</f>
        <v>0</v>
      </c>
    </row>
    <row r="621" spans="1:37" x14ac:dyDescent="0.25">
      <c r="A621" s="169">
        <f t="shared" si="171"/>
        <v>43107</v>
      </c>
      <c r="B621" s="23">
        <f>ROUNDUP((A621-Yleistiedot!$B$4)/7,0)</f>
        <v>106</v>
      </c>
      <c r="C621" s="16"/>
      <c r="D621" s="25"/>
      <c r="E621" s="25"/>
      <c r="F621" s="25"/>
      <c r="G621" s="25"/>
      <c r="H621" s="25"/>
      <c r="I621" s="65">
        <f t="shared" si="166"/>
        <v>0</v>
      </c>
      <c r="J621" s="26"/>
      <c r="K621" s="25"/>
      <c r="L621" s="16"/>
      <c r="M621" s="16"/>
      <c r="N621" s="25"/>
      <c r="O621" s="30"/>
      <c r="P621" s="252">
        <f t="shared" si="178"/>
        <v>9990</v>
      </c>
      <c r="Q621" s="253">
        <f t="shared" si="179"/>
        <v>0</v>
      </c>
      <c r="R621" s="253">
        <f t="shared" si="180"/>
        <v>0</v>
      </c>
      <c r="S621" s="251">
        <f>SUMIFS('tuot-rehukirjanpito'!D:D,'tuot-rehukirjanpito'!A:A,A621)</f>
        <v>0</v>
      </c>
      <c r="T621" s="254">
        <f t="shared" si="174"/>
        <v>1098.9000000000001</v>
      </c>
      <c r="U621" s="254">
        <f t="shared" si="175"/>
        <v>1098.8999999999999</v>
      </c>
      <c r="V621" s="252">
        <f t="shared" si="176"/>
        <v>-680219.10000000789</v>
      </c>
      <c r="W621" s="255">
        <f t="shared" si="177"/>
        <v>-619.00000000000716</v>
      </c>
      <c r="X621" s="256" t="str">
        <f t="shared" si="181"/>
        <v/>
      </c>
      <c r="Y621" s="256" t="str">
        <f t="shared" si="182"/>
        <v/>
      </c>
      <c r="Z621" s="224" t="str">
        <f>IF(IFERROR(INDEX('tuot-rehukirjanpito'!I:I,MATCH(A621,'tuot-rehukirjanpito'!G:G,0)),)=0,"",INDEX('tuot-rehukirjanpito'!I:I,MATCH(A621,'tuot-rehukirjanpito'!G:G,0)))</f>
        <v/>
      </c>
      <c r="AA621" s="224">
        <f>SUMIFS('tuot-INFO'!$K$10:$K$115,'tuot-INFO'!$A$10:$A$115,'tuot-PVÄ'!B621)</f>
        <v>0</v>
      </c>
      <c r="AB621" s="224">
        <f>SUMIFS('rehu-vesi-INFO'!$R:$R,'rehu-vesi-INFO'!$A:$A,'tuot-PVÄ'!B621)</f>
        <v>1746</v>
      </c>
      <c r="AC621" s="224">
        <f>SUMIFS('rehu-vesi-INFO'!$S:$S,'rehu-vesi-INFO'!$A:$A,'tuot-PVÄ'!B621)</f>
        <v>1853</v>
      </c>
      <c r="AD621" s="224">
        <f t="shared" si="167"/>
        <v>107</v>
      </c>
      <c r="AE621" s="224">
        <f t="shared" si="168"/>
        <v>0</v>
      </c>
      <c r="AF621" s="224">
        <f t="shared" si="169"/>
        <v>174.6</v>
      </c>
      <c r="AG621" s="224">
        <f t="shared" si="170"/>
        <v>10.7</v>
      </c>
      <c r="AH621" s="257">
        <f t="shared" si="172"/>
        <v>0</v>
      </c>
      <c r="AI621" s="258">
        <f t="shared" si="173"/>
        <v>0</v>
      </c>
      <c r="AJ621" s="55">
        <f>SUMIFS('tuot-INFO'!W:W,'tuot-INFO'!$A:$A,'tuot-PVÄ'!B621)</f>
        <v>0</v>
      </c>
      <c r="AK621" s="55">
        <f>SUMIFS('tuot-INFO'!X:X,'tuot-INFO'!$A:$A,'tuot-PVÄ'!B621)</f>
        <v>0</v>
      </c>
    </row>
    <row r="622" spans="1:37" x14ac:dyDescent="0.25">
      <c r="A622" s="169">
        <f t="shared" si="171"/>
        <v>43108</v>
      </c>
      <c r="B622" s="23">
        <f>ROUNDUP((A622-Yleistiedot!$B$4)/7,0)</f>
        <v>106</v>
      </c>
      <c r="C622" s="16"/>
      <c r="D622" s="25"/>
      <c r="E622" s="25"/>
      <c r="F622" s="25"/>
      <c r="G622" s="25"/>
      <c r="H622" s="25"/>
      <c r="I622" s="65">
        <f t="shared" si="166"/>
        <v>0</v>
      </c>
      <c r="J622" s="26"/>
      <c r="K622" s="25"/>
      <c r="L622" s="16"/>
      <c r="M622" s="16"/>
      <c r="N622" s="25"/>
      <c r="O622" s="30"/>
      <c r="P622" s="252">
        <f t="shared" si="178"/>
        <v>9990</v>
      </c>
      <c r="Q622" s="253">
        <f t="shared" si="179"/>
        <v>0</v>
      </c>
      <c r="R622" s="253">
        <f t="shared" si="180"/>
        <v>0</v>
      </c>
      <c r="S622" s="251">
        <f>SUMIFS('tuot-rehukirjanpito'!D:D,'tuot-rehukirjanpito'!A:A,A622)</f>
        <v>0</v>
      </c>
      <c r="T622" s="254">
        <f t="shared" si="174"/>
        <v>1098.9000000000001</v>
      </c>
      <c r="U622" s="254">
        <f t="shared" si="175"/>
        <v>1098.8999999999999</v>
      </c>
      <c r="V622" s="252">
        <f t="shared" si="176"/>
        <v>-681318.00000000792</v>
      </c>
      <c r="W622" s="255">
        <f t="shared" si="177"/>
        <v>-620.00000000000716</v>
      </c>
      <c r="X622" s="256" t="str">
        <f t="shared" si="181"/>
        <v/>
      </c>
      <c r="Y622" s="256" t="str">
        <f t="shared" si="182"/>
        <v/>
      </c>
      <c r="Z622" s="224" t="str">
        <f>IF(IFERROR(INDEX('tuot-rehukirjanpito'!I:I,MATCH(A622,'tuot-rehukirjanpito'!G:G,0)),)=0,"",INDEX('tuot-rehukirjanpito'!I:I,MATCH(A622,'tuot-rehukirjanpito'!G:G,0)))</f>
        <v/>
      </c>
      <c r="AA622" s="224">
        <f>SUMIFS('tuot-INFO'!$K$10:$K$115,'tuot-INFO'!$A$10:$A$115,'tuot-PVÄ'!B622)</f>
        <v>0</v>
      </c>
      <c r="AB622" s="224">
        <f>SUMIFS('rehu-vesi-INFO'!$R:$R,'rehu-vesi-INFO'!$A:$A,'tuot-PVÄ'!B622)</f>
        <v>1746</v>
      </c>
      <c r="AC622" s="224">
        <f>SUMIFS('rehu-vesi-INFO'!$S:$S,'rehu-vesi-INFO'!$A:$A,'tuot-PVÄ'!B622)</f>
        <v>1853</v>
      </c>
      <c r="AD622" s="224">
        <f t="shared" si="167"/>
        <v>107</v>
      </c>
      <c r="AE622" s="224">
        <f t="shared" si="168"/>
        <v>0</v>
      </c>
      <c r="AF622" s="224">
        <f t="shared" si="169"/>
        <v>174.6</v>
      </c>
      <c r="AG622" s="224">
        <f t="shared" si="170"/>
        <v>10.7</v>
      </c>
      <c r="AH622" s="257">
        <f t="shared" si="172"/>
        <v>0</v>
      </c>
      <c r="AI622" s="258">
        <f t="shared" si="173"/>
        <v>0</v>
      </c>
      <c r="AJ622" s="55">
        <f>SUMIFS('tuot-INFO'!W:W,'tuot-INFO'!$A:$A,'tuot-PVÄ'!B622)</f>
        <v>0</v>
      </c>
      <c r="AK622" s="55">
        <f>SUMIFS('tuot-INFO'!X:X,'tuot-INFO'!$A:$A,'tuot-PVÄ'!B622)</f>
        <v>0</v>
      </c>
    </row>
    <row r="623" spans="1:37" x14ac:dyDescent="0.25">
      <c r="A623" s="169">
        <f t="shared" si="171"/>
        <v>43109</v>
      </c>
      <c r="B623" s="23">
        <f>ROUNDUP((A623-Yleistiedot!$B$4)/7,0)</f>
        <v>106</v>
      </c>
      <c r="C623" s="16"/>
      <c r="D623" s="25"/>
      <c r="E623" s="25"/>
      <c r="F623" s="25"/>
      <c r="G623" s="25"/>
      <c r="H623" s="25"/>
      <c r="I623" s="65">
        <f t="shared" si="166"/>
        <v>0</v>
      </c>
      <c r="J623" s="26"/>
      <c r="K623" s="25"/>
      <c r="L623" s="16"/>
      <c r="M623" s="16"/>
      <c r="N623" s="25"/>
      <c r="O623" s="30"/>
      <c r="P623" s="252">
        <f t="shared" si="178"/>
        <v>9990</v>
      </c>
      <c r="Q623" s="253">
        <f t="shared" si="179"/>
        <v>0</v>
      </c>
      <c r="R623" s="253">
        <f t="shared" si="180"/>
        <v>0</v>
      </c>
      <c r="S623" s="251">
        <f>SUMIFS('tuot-rehukirjanpito'!D:D,'tuot-rehukirjanpito'!A:A,A623)</f>
        <v>0</v>
      </c>
      <c r="T623" s="254">
        <f t="shared" si="174"/>
        <v>1098.9000000000001</v>
      </c>
      <c r="U623" s="254">
        <f t="shared" si="175"/>
        <v>1098.8999999999999</v>
      </c>
      <c r="V623" s="252">
        <f t="shared" si="176"/>
        <v>-682416.90000000794</v>
      </c>
      <c r="W623" s="255">
        <f t="shared" si="177"/>
        <v>-621.00000000000716</v>
      </c>
      <c r="X623" s="256" t="str">
        <f t="shared" si="181"/>
        <v/>
      </c>
      <c r="Y623" s="256" t="str">
        <f t="shared" si="182"/>
        <v/>
      </c>
      <c r="Z623" s="224" t="str">
        <f>IF(IFERROR(INDEX('tuot-rehukirjanpito'!I:I,MATCH(A623,'tuot-rehukirjanpito'!G:G,0)),)=0,"",INDEX('tuot-rehukirjanpito'!I:I,MATCH(A623,'tuot-rehukirjanpito'!G:G,0)))</f>
        <v/>
      </c>
      <c r="AA623" s="224">
        <f>SUMIFS('tuot-INFO'!$K$10:$K$115,'tuot-INFO'!$A$10:$A$115,'tuot-PVÄ'!B623)</f>
        <v>0</v>
      </c>
      <c r="AB623" s="224">
        <f>SUMIFS('rehu-vesi-INFO'!$R:$R,'rehu-vesi-INFO'!$A:$A,'tuot-PVÄ'!B623)</f>
        <v>1746</v>
      </c>
      <c r="AC623" s="224">
        <f>SUMIFS('rehu-vesi-INFO'!$S:$S,'rehu-vesi-INFO'!$A:$A,'tuot-PVÄ'!B623)</f>
        <v>1853</v>
      </c>
      <c r="AD623" s="224">
        <f t="shared" si="167"/>
        <v>107</v>
      </c>
      <c r="AE623" s="224">
        <f t="shared" si="168"/>
        <v>0</v>
      </c>
      <c r="AF623" s="224">
        <f t="shared" si="169"/>
        <v>174.6</v>
      </c>
      <c r="AG623" s="224">
        <f t="shared" si="170"/>
        <v>10.7</v>
      </c>
      <c r="AH623" s="257">
        <f t="shared" si="172"/>
        <v>0</v>
      </c>
      <c r="AI623" s="258">
        <f t="shared" si="173"/>
        <v>0</v>
      </c>
      <c r="AJ623" s="55">
        <f>SUMIFS('tuot-INFO'!W:W,'tuot-INFO'!$A:$A,'tuot-PVÄ'!B623)</f>
        <v>0</v>
      </c>
      <c r="AK623" s="55">
        <f>SUMIFS('tuot-INFO'!X:X,'tuot-INFO'!$A:$A,'tuot-PVÄ'!B623)</f>
        <v>0</v>
      </c>
    </row>
    <row r="624" spans="1:37" x14ac:dyDescent="0.25">
      <c r="A624" s="169">
        <f t="shared" si="171"/>
        <v>43110</v>
      </c>
      <c r="B624" s="23">
        <f>ROUNDUP((A624-Yleistiedot!$B$4)/7,0)</f>
        <v>106</v>
      </c>
      <c r="C624" s="16"/>
      <c r="D624" s="25"/>
      <c r="E624" s="25"/>
      <c r="F624" s="25"/>
      <c r="G624" s="25"/>
      <c r="H624" s="25"/>
      <c r="I624" s="65">
        <f t="shared" si="166"/>
        <v>0</v>
      </c>
      <c r="J624" s="26"/>
      <c r="K624" s="25"/>
      <c r="L624" s="16"/>
      <c r="M624" s="16"/>
      <c r="N624" s="25"/>
      <c r="O624" s="30"/>
      <c r="P624" s="252">
        <f t="shared" si="178"/>
        <v>9990</v>
      </c>
      <c r="Q624" s="253">
        <f t="shared" si="179"/>
        <v>0</v>
      </c>
      <c r="R624" s="253">
        <f t="shared" si="180"/>
        <v>0</v>
      </c>
      <c r="S624" s="251">
        <f>SUMIFS('tuot-rehukirjanpito'!D:D,'tuot-rehukirjanpito'!A:A,A624)</f>
        <v>0</v>
      </c>
      <c r="T624" s="254">
        <f t="shared" si="174"/>
        <v>1098.9000000000001</v>
      </c>
      <c r="U624" s="254">
        <f t="shared" si="175"/>
        <v>1098.8999999999999</v>
      </c>
      <c r="V624" s="252">
        <f t="shared" si="176"/>
        <v>-683515.80000000796</v>
      </c>
      <c r="W624" s="255">
        <f t="shared" si="177"/>
        <v>-622.00000000000716</v>
      </c>
      <c r="X624" s="256" t="str">
        <f t="shared" si="181"/>
        <v/>
      </c>
      <c r="Y624" s="256" t="str">
        <f t="shared" si="182"/>
        <v/>
      </c>
      <c r="Z624" s="224" t="str">
        <f>IF(IFERROR(INDEX('tuot-rehukirjanpito'!I:I,MATCH(A624,'tuot-rehukirjanpito'!G:G,0)),)=0,"",INDEX('tuot-rehukirjanpito'!I:I,MATCH(A624,'tuot-rehukirjanpito'!G:G,0)))</f>
        <v/>
      </c>
      <c r="AA624" s="224">
        <f>SUMIFS('tuot-INFO'!$K$10:$K$115,'tuot-INFO'!$A$10:$A$115,'tuot-PVÄ'!B624)</f>
        <v>0</v>
      </c>
      <c r="AB624" s="224">
        <f>SUMIFS('rehu-vesi-INFO'!$R:$R,'rehu-vesi-INFO'!$A:$A,'tuot-PVÄ'!B624)</f>
        <v>1746</v>
      </c>
      <c r="AC624" s="224">
        <f>SUMIFS('rehu-vesi-INFO'!$S:$S,'rehu-vesi-INFO'!$A:$A,'tuot-PVÄ'!B624)</f>
        <v>1853</v>
      </c>
      <c r="AD624" s="224">
        <f t="shared" si="167"/>
        <v>107</v>
      </c>
      <c r="AE624" s="224">
        <f t="shared" si="168"/>
        <v>0</v>
      </c>
      <c r="AF624" s="224">
        <f t="shared" si="169"/>
        <v>174.6</v>
      </c>
      <c r="AG624" s="224">
        <f t="shared" si="170"/>
        <v>10.7</v>
      </c>
      <c r="AH624" s="257">
        <f t="shared" si="172"/>
        <v>0</v>
      </c>
      <c r="AI624" s="258">
        <f t="shared" si="173"/>
        <v>0</v>
      </c>
      <c r="AJ624" s="55">
        <f>SUMIFS('tuot-INFO'!W:W,'tuot-INFO'!$A:$A,'tuot-PVÄ'!B624)</f>
        <v>0</v>
      </c>
      <c r="AK624" s="55">
        <f>SUMIFS('tuot-INFO'!X:X,'tuot-INFO'!$A:$A,'tuot-PVÄ'!B624)</f>
        <v>0</v>
      </c>
    </row>
    <row r="625" spans="1:37" x14ac:dyDescent="0.25">
      <c r="A625" s="169">
        <f t="shared" si="171"/>
        <v>43111</v>
      </c>
      <c r="B625" s="23">
        <f>ROUNDUP((A625-Yleistiedot!$B$4)/7,0)</f>
        <v>106</v>
      </c>
      <c r="C625" s="16"/>
      <c r="D625" s="25"/>
      <c r="E625" s="25"/>
      <c r="F625" s="25"/>
      <c r="G625" s="25"/>
      <c r="H625" s="25"/>
      <c r="I625" s="65">
        <f t="shared" si="166"/>
        <v>0</v>
      </c>
      <c r="J625" s="26"/>
      <c r="K625" s="25"/>
      <c r="L625" s="16"/>
      <c r="M625" s="16"/>
      <c r="N625" s="25"/>
      <c r="O625" s="30"/>
      <c r="P625" s="252">
        <f t="shared" si="178"/>
        <v>9990</v>
      </c>
      <c r="Q625" s="253">
        <f t="shared" si="179"/>
        <v>0</v>
      </c>
      <c r="R625" s="253">
        <f t="shared" si="180"/>
        <v>0</v>
      </c>
      <c r="S625" s="251">
        <f>SUMIFS('tuot-rehukirjanpito'!D:D,'tuot-rehukirjanpito'!A:A,A625)</f>
        <v>0</v>
      </c>
      <c r="T625" s="254">
        <f t="shared" si="174"/>
        <v>1098.9000000000001</v>
      </c>
      <c r="U625" s="254">
        <f t="shared" si="175"/>
        <v>1098.8999999999999</v>
      </c>
      <c r="V625" s="252">
        <f t="shared" si="176"/>
        <v>-684614.70000000799</v>
      </c>
      <c r="W625" s="255">
        <f t="shared" si="177"/>
        <v>-623.00000000000716</v>
      </c>
      <c r="X625" s="256" t="str">
        <f t="shared" si="181"/>
        <v/>
      </c>
      <c r="Y625" s="256" t="str">
        <f t="shared" si="182"/>
        <v/>
      </c>
      <c r="Z625" s="224" t="str">
        <f>IF(IFERROR(INDEX('tuot-rehukirjanpito'!I:I,MATCH(A625,'tuot-rehukirjanpito'!G:G,0)),)=0,"",INDEX('tuot-rehukirjanpito'!I:I,MATCH(A625,'tuot-rehukirjanpito'!G:G,0)))</f>
        <v/>
      </c>
      <c r="AA625" s="224">
        <f>SUMIFS('tuot-INFO'!$K$10:$K$115,'tuot-INFO'!$A$10:$A$115,'tuot-PVÄ'!B625)</f>
        <v>0</v>
      </c>
      <c r="AB625" s="224">
        <f>SUMIFS('rehu-vesi-INFO'!$R:$R,'rehu-vesi-INFO'!$A:$A,'tuot-PVÄ'!B625)</f>
        <v>1746</v>
      </c>
      <c r="AC625" s="224">
        <f>SUMIFS('rehu-vesi-INFO'!$S:$S,'rehu-vesi-INFO'!$A:$A,'tuot-PVÄ'!B625)</f>
        <v>1853</v>
      </c>
      <c r="AD625" s="224">
        <f t="shared" si="167"/>
        <v>107</v>
      </c>
      <c r="AE625" s="224">
        <f t="shared" si="168"/>
        <v>0</v>
      </c>
      <c r="AF625" s="224">
        <f t="shared" si="169"/>
        <v>174.6</v>
      </c>
      <c r="AG625" s="224">
        <f t="shared" si="170"/>
        <v>10.7</v>
      </c>
      <c r="AH625" s="257">
        <f t="shared" si="172"/>
        <v>0</v>
      </c>
      <c r="AI625" s="258">
        <f t="shared" si="173"/>
        <v>0</v>
      </c>
      <c r="AJ625" s="55">
        <f>SUMIFS('tuot-INFO'!W:W,'tuot-INFO'!$A:$A,'tuot-PVÄ'!B625)</f>
        <v>0</v>
      </c>
      <c r="AK625" s="55">
        <f>SUMIFS('tuot-INFO'!X:X,'tuot-INFO'!$A:$A,'tuot-PVÄ'!B625)</f>
        <v>0</v>
      </c>
    </row>
    <row r="626" spans="1:37" x14ac:dyDescent="0.25">
      <c r="A626" s="169">
        <f t="shared" si="171"/>
        <v>43112</v>
      </c>
      <c r="B626" s="23">
        <f>ROUNDUP((A626-Yleistiedot!$B$4)/7,0)</f>
        <v>106</v>
      </c>
      <c r="C626" s="16"/>
      <c r="D626" s="25"/>
      <c r="E626" s="25"/>
      <c r="F626" s="25"/>
      <c r="G626" s="25"/>
      <c r="H626" s="25"/>
      <c r="I626" s="65">
        <f t="shared" si="166"/>
        <v>0</v>
      </c>
      <c r="J626" s="26"/>
      <c r="K626" s="25"/>
      <c r="L626" s="16"/>
      <c r="M626" s="16"/>
      <c r="N626" s="25"/>
      <c r="O626" s="30"/>
      <c r="P626" s="252">
        <f t="shared" si="178"/>
        <v>9990</v>
      </c>
      <c r="Q626" s="253">
        <f t="shared" si="179"/>
        <v>0</v>
      </c>
      <c r="R626" s="253">
        <f t="shared" si="180"/>
        <v>0</v>
      </c>
      <c r="S626" s="251">
        <f>SUMIFS('tuot-rehukirjanpito'!D:D,'tuot-rehukirjanpito'!A:A,A626)</f>
        <v>0</v>
      </c>
      <c r="T626" s="254">
        <f t="shared" si="174"/>
        <v>1098.9000000000001</v>
      </c>
      <c r="U626" s="254">
        <f t="shared" si="175"/>
        <v>1098.8999999999999</v>
      </c>
      <c r="V626" s="252">
        <f t="shared" si="176"/>
        <v>-685713.60000000801</v>
      </c>
      <c r="W626" s="255">
        <f t="shared" si="177"/>
        <v>-624.00000000000728</v>
      </c>
      <c r="X626" s="256" t="str">
        <f t="shared" si="181"/>
        <v/>
      </c>
      <c r="Y626" s="256" t="str">
        <f t="shared" si="182"/>
        <v/>
      </c>
      <c r="Z626" s="224" t="str">
        <f>IF(IFERROR(INDEX('tuot-rehukirjanpito'!I:I,MATCH(A626,'tuot-rehukirjanpito'!G:G,0)),)=0,"",INDEX('tuot-rehukirjanpito'!I:I,MATCH(A626,'tuot-rehukirjanpito'!G:G,0)))</f>
        <v/>
      </c>
      <c r="AA626" s="224">
        <f>SUMIFS('tuot-INFO'!$K$10:$K$115,'tuot-INFO'!$A$10:$A$115,'tuot-PVÄ'!B626)</f>
        <v>0</v>
      </c>
      <c r="AB626" s="224">
        <f>SUMIFS('rehu-vesi-INFO'!$R:$R,'rehu-vesi-INFO'!$A:$A,'tuot-PVÄ'!B626)</f>
        <v>1746</v>
      </c>
      <c r="AC626" s="224">
        <f>SUMIFS('rehu-vesi-INFO'!$S:$S,'rehu-vesi-INFO'!$A:$A,'tuot-PVÄ'!B626)</f>
        <v>1853</v>
      </c>
      <c r="AD626" s="224">
        <f t="shared" si="167"/>
        <v>107</v>
      </c>
      <c r="AE626" s="224">
        <f t="shared" si="168"/>
        <v>0</v>
      </c>
      <c r="AF626" s="224">
        <f t="shared" si="169"/>
        <v>174.6</v>
      </c>
      <c r="AG626" s="224">
        <f t="shared" si="170"/>
        <v>10.7</v>
      </c>
      <c r="AH626" s="257">
        <f t="shared" si="172"/>
        <v>0</v>
      </c>
      <c r="AI626" s="258">
        <f t="shared" si="173"/>
        <v>0</v>
      </c>
      <c r="AJ626" s="55">
        <f>SUMIFS('tuot-INFO'!W:W,'tuot-INFO'!$A:$A,'tuot-PVÄ'!B626)</f>
        <v>0</v>
      </c>
      <c r="AK626" s="55">
        <f>SUMIFS('tuot-INFO'!X:X,'tuot-INFO'!$A:$A,'tuot-PVÄ'!B626)</f>
        <v>0</v>
      </c>
    </row>
    <row r="627" spans="1:37" x14ac:dyDescent="0.25">
      <c r="A627" s="169">
        <f t="shared" si="171"/>
        <v>43113</v>
      </c>
      <c r="B627" s="23">
        <f>ROUNDUP((A627-Yleistiedot!$B$4)/7,0)</f>
        <v>107</v>
      </c>
      <c r="C627" s="16"/>
      <c r="D627" s="25"/>
      <c r="E627" s="25"/>
      <c r="F627" s="25"/>
      <c r="G627" s="25"/>
      <c r="H627" s="25"/>
      <c r="I627" s="65">
        <f t="shared" si="166"/>
        <v>0</v>
      </c>
      <c r="J627" s="26"/>
      <c r="K627" s="25"/>
      <c r="L627" s="16"/>
      <c r="M627" s="16"/>
      <c r="N627" s="25"/>
      <c r="O627" s="30"/>
      <c r="P627" s="252">
        <f t="shared" si="178"/>
        <v>9990</v>
      </c>
      <c r="Q627" s="253">
        <f t="shared" si="179"/>
        <v>0</v>
      </c>
      <c r="R627" s="253">
        <f t="shared" si="180"/>
        <v>0</v>
      </c>
      <c r="S627" s="251">
        <f>SUMIFS('tuot-rehukirjanpito'!D:D,'tuot-rehukirjanpito'!A:A,A627)</f>
        <v>0</v>
      </c>
      <c r="T627" s="254">
        <f t="shared" si="174"/>
        <v>1098.9000000000001</v>
      </c>
      <c r="U627" s="254">
        <f t="shared" si="175"/>
        <v>1098.8999999999999</v>
      </c>
      <c r="V627" s="252">
        <f t="shared" si="176"/>
        <v>-686812.50000000803</v>
      </c>
      <c r="W627" s="255">
        <f t="shared" si="177"/>
        <v>-625.00000000000728</v>
      </c>
      <c r="X627" s="256" t="str">
        <f t="shared" si="181"/>
        <v/>
      </c>
      <c r="Y627" s="256" t="str">
        <f t="shared" si="182"/>
        <v/>
      </c>
      <c r="Z627" s="224" t="str">
        <f>IF(IFERROR(INDEX('tuot-rehukirjanpito'!I:I,MATCH(A627,'tuot-rehukirjanpito'!G:G,0)),)=0,"",INDEX('tuot-rehukirjanpito'!I:I,MATCH(A627,'tuot-rehukirjanpito'!G:G,0)))</f>
        <v/>
      </c>
      <c r="AA627" s="224">
        <f>SUMIFS('tuot-INFO'!$K$10:$K$115,'tuot-INFO'!$A$10:$A$115,'tuot-PVÄ'!B627)</f>
        <v>0</v>
      </c>
      <c r="AB627" s="224">
        <f>SUMIFS('rehu-vesi-INFO'!$R:$R,'rehu-vesi-INFO'!$A:$A,'tuot-PVÄ'!B627)</f>
        <v>1746</v>
      </c>
      <c r="AC627" s="224">
        <f>SUMIFS('rehu-vesi-INFO'!$S:$S,'rehu-vesi-INFO'!$A:$A,'tuot-PVÄ'!B627)</f>
        <v>1853</v>
      </c>
      <c r="AD627" s="224">
        <f t="shared" si="167"/>
        <v>107</v>
      </c>
      <c r="AE627" s="224">
        <f t="shared" si="168"/>
        <v>0</v>
      </c>
      <c r="AF627" s="224">
        <f t="shared" si="169"/>
        <v>174.6</v>
      </c>
      <c r="AG627" s="224">
        <f t="shared" si="170"/>
        <v>10.7</v>
      </c>
      <c r="AH627" s="257">
        <f t="shared" si="172"/>
        <v>0</v>
      </c>
      <c r="AI627" s="258">
        <f t="shared" si="173"/>
        <v>0</v>
      </c>
      <c r="AJ627" s="55">
        <f>SUMIFS('tuot-INFO'!W:W,'tuot-INFO'!$A:$A,'tuot-PVÄ'!B627)</f>
        <v>0</v>
      </c>
      <c r="AK627" s="55">
        <f>SUMIFS('tuot-INFO'!X:X,'tuot-INFO'!$A:$A,'tuot-PVÄ'!B627)</f>
        <v>0</v>
      </c>
    </row>
    <row r="628" spans="1:37" x14ac:dyDescent="0.25">
      <c r="A628" s="169">
        <f t="shared" si="171"/>
        <v>43114</v>
      </c>
      <c r="B628" s="23">
        <f>ROUNDUP((A628-Yleistiedot!$B$4)/7,0)</f>
        <v>107</v>
      </c>
      <c r="C628" s="16"/>
      <c r="D628" s="25"/>
      <c r="E628" s="25"/>
      <c r="F628" s="25"/>
      <c r="G628" s="25"/>
      <c r="H628" s="25"/>
      <c r="I628" s="65">
        <f t="shared" si="166"/>
        <v>0</v>
      </c>
      <c r="J628" s="26"/>
      <c r="K628" s="25"/>
      <c r="L628" s="16"/>
      <c r="M628" s="16"/>
      <c r="N628" s="25"/>
      <c r="O628" s="30"/>
      <c r="P628" s="252">
        <f t="shared" si="178"/>
        <v>9990</v>
      </c>
      <c r="Q628" s="253">
        <f t="shared" si="179"/>
        <v>0</v>
      </c>
      <c r="R628" s="253">
        <f t="shared" si="180"/>
        <v>0</v>
      </c>
      <c r="S628" s="251">
        <f>SUMIFS('tuot-rehukirjanpito'!D:D,'tuot-rehukirjanpito'!A:A,A628)</f>
        <v>0</v>
      </c>
      <c r="T628" s="254">
        <f t="shared" si="174"/>
        <v>1098.9000000000001</v>
      </c>
      <c r="U628" s="254">
        <f t="shared" si="175"/>
        <v>1098.8999999999999</v>
      </c>
      <c r="V628" s="252">
        <f t="shared" si="176"/>
        <v>-687911.40000000806</v>
      </c>
      <c r="W628" s="255">
        <f t="shared" si="177"/>
        <v>-626.00000000000728</v>
      </c>
      <c r="X628" s="256" t="str">
        <f t="shared" si="181"/>
        <v/>
      </c>
      <c r="Y628" s="256" t="str">
        <f t="shared" si="182"/>
        <v/>
      </c>
      <c r="Z628" s="224" t="str">
        <f>IF(IFERROR(INDEX('tuot-rehukirjanpito'!I:I,MATCH(A628,'tuot-rehukirjanpito'!G:G,0)),)=0,"",INDEX('tuot-rehukirjanpito'!I:I,MATCH(A628,'tuot-rehukirjanpito'!G:G,0)))</f>
        <v/>
      </c>
      <c r="AA628" s="224">
        <f>SUMIFS('tuot-INFO'!$K$10:$K$115,'tuot-INFO'!$A$10:$A$115,'tuot-PVÄ'!B628)</f>
        <v>0</v>
      </c>
      <c r="AB628" s="224">
        <f>SUMIFS('rehu-vesi-INFO'!$R:$R,'rehu-vesi-INFO'!$A:$A,'tuot-PVÄ'!B628)</f>
        <v>1746</v>
      </c>
      <c r="AC628" s="224">
        <f>SUMIFS('rehu-vesi-INFO'!$S:$S,'rehu-vesi-INFO'!$A:$A,'tuot-PVÄ'!B628)</f>
        <v>1853</v>
      </c>
      <c r="AD628" s="224">
        <f t="shared" si="167"/>
        <v>107</v>
      </c>
      <c r="AE628" s="224">
        <f t="shared" si="168"/>
        <v>0</v>
      </c>
      <c r="AF628" s="224">
        <f t="shared" si="169"/>
        <v>174.6</v>
      </c>
      <c r="AG628" s="224">
        <f t="shared" si="170"/>
        <v>10.7</v>
      </c>
      <c r="AH628" s="257">
        <f t="shared" si="172"/>
        <v>0</v>
      </c>
      <c r="AI628" s="258">
        <f t="shared" si="173"/>
        <v>0</v>
      </c>
      <c r="AJ628" s="55">
        <f>SUMIFS('tuot-INFO'!W:W,'tuot-INFO'!$A:$A,'tuot-PVÄ'!B628)</f>
        <v>0</v>
      </c>
      <c r="AK628" s="55">
        <f>SUMIFS('tuot-INFO'!X:X,'tuot-INFO'!$A:$A,'tuot-PVÄ'!B628)</f>
        <v>0</v>
      </c>
    </row>
    <row r="629" spans="1:37" x14ac:dyDescent="0.25">
      <c r="A629" s="169">
        <f t="shared" si="171"/>
        <v>43115</v>
      </c>
      <c r="B629" s="23">
        <f>ROUNDUP((A629-Yleistiedot!$B$4)/7,0)</f>
        <v>107</v>
      </c>
      <c r="C629" s="16"/>
      <c r="D629" s="25"/>
      <c r="E629" s="25"/>
      <c r="F629" s="25"/>
      <c r="G629" s="25"/>
      <c r="H629" s="25"/>
      <c r="I629" s="65">
        <f t="shared" si="166"/>
        <v>0</v>
      </c>
      <c r="J629" s="26"/>
      <c r="K629" s="25"/>
      <c r="L629" s="16"/>
      <c r="M629" s="16"/>
      <c r="N629" s="25"/>
      <c r="O629" s="30"/>
      <c r="P629" s="252">
        <f t="shared" si="178"/>
        <v>9990</v>
      </c>
      <c r="Q629" s="253">
        <f t="shared" si="179"/>
        <v>0</v>
      </c>
      <c r="R629" s="253">
        <f t="shared" si="180"/>
        <v>0</v>
      </c>
      <c r="S629" s="251">
        <f>SUMIFS('tuot-rehukirjanpito'!D:D,'tuot-rehukirjanpito'!A:A,A629)</f>
        <v>0</v>
      </c>
      <c r="T629" s="254">
        <f t="shared" si="174"/>
        <v>1098.9000000000001</v>
      </c>
      <c r="U629" s="254">
        <f t="shared" si="175"/>
        <v>1098.8999999999999</v>
      </c>
      <c r="V629" s="252">
        <f t="shared" si="176"/>
        <v>-689010.30000000808</v>
      </c>
      <c r="W629" s="255">
        <f t="shared" si="177"/>
        <v>-627.00000000000728</v>
      </c>
      <c r="X629" s="256" t="str">
        <f t="shared" si="181"/>
        <v/>
      </c>
      <c r="Y629" s="256" t="str">
        <f t="shared" si="182"/>
        <v/>
      </c>
      <c r="Z629" s="224" t="str">
        <f>IF(IFERROR(INDEX('tuot-rehukirjanpito'!I:I,MATCH(A629,'tuot-rehukirjanpito'!G:G,0)),)=0,"",INDEX('tuot-rehukirjanpito'!I:I,MATCH(A629,'tuot-rehukirjanpito'!G:G,0)))</f>
        <v/>
      </c>
      <c r="AA629" s="224">
        <f>SUMIFS('tuot-INFO'!$K$10:$K$115,'tuot-INFO'!$A$10:$A$115,'tuot-PVÄ'!B629)</f>
        <v>0</v>
      </c>
      <c r="AB629" s="224">
        <f>SUMIFS('rehu-vesi-INFO'!$R:$R,'rehu-vesi-INFO'!$A:$A,'tuot-PVÄ'!B629)</f>
        <v>1746</v>
      </c>
      <c r="AC629" s="224">
        <f>SUMIFS('rehu-vesi-INFO'!$S:$S,'rehu-vesi-INFO'!$A:$A,'tuot-PVÄ'!B629)</f>
        <v>1853</v>
      </c>
      <c r="AD629" s="224">
        <f t="shared" si="167"/>
        <v>107</v>
      </c>
      <c r="AE629" s="224">
        <f t="shared" si="168"/>
        <v>0</v>
      </c>
      <c r="AF629" s="224">
        <f t="shared" si="169"/>
        <v>174.6</v>
      </c>
      <c r="AG629" s="224">
        <f t="shared" si="170"/>
        <v>10.7</v>
      </c>
      <c r="AH629" s="257">
        <f t="shared" si="172"/>
        <v>0</v>
      </c>
      <c r="AI629" s="258">
        <f t="shared" si="173"/>
        <v>0</v>
      </c>
      <c r="AJ629" s="55">
        <f>SUMIFS('tuot-INFO'!W:W,'tuot-INFO'!$A:$A,'tuot-PVÄ'!B629)</f>
        <v>0</v>
      </c>
      <c r="AK629" s="55">
        <f>SUMIFS('tuot-INFO'!X:X,'tuot-INFO'!$A:$A,'tuot-PVÄ'!B629)</f>
        <v>0</v>
      </c>
    </row>
    <row r="630" spans="1:37" x14ac:dyDescent="0.25">
      <c r="A630" s="169">
        <f t="shared" si="171"/>
        <v>43116</v>
      </c>
      <c r="B630" s="23">
        <f>ROUNDUP((A630-Yleistiedot!$B$4)/7,0)</f>
        <v>107</v>
      </c>
      <c r="C630" s="16"/>
      <c r="D630" s="25"/>
      <c r="E630" s="25"/>
      <c r="F630" s="25"/>
      <c r="G630" s="25"/>
      <c r="H630" s="25"/>
      <c r="I630" s="65">
        <f t="shared" si="166"/>
        <v>0</v>
      </c>
      <c r="J630" s="26"/>
      <c r="K630" s="25"/>
      <c r="L630" s="16"/>
      <c r="M630" s="16"/>
      <c r="N630" s="25"/>
      <c r="O630" s="30"/>
      <c r="P630" s="252">
        <f t="shared" si="178"/>
        <v>9990</v>
      </c>
      <c r="Q630" s="253">
        <f t="shared" si="179"/>
        <v>0</v>
      </c>
      <c r="R630" s="253">
        <f t="shared" si="180"/>
        <v>0</v>
      </c>
      <c r="S630" s="251">
        <f>SUMIFS('tuot-rehukirjanpito'!D:D,'tuot-rehukirjanpito'!A:A,A630)</f>
        <v>0</v>
      </c>
      <c r="T630" s="254">
        <f t="shared" si="174"/>
        <v>1098.9000000000001</v>
      </c>
      <c r="U630" s="254">
        <f t="shared" si="175"/>
        <v>1098.8999999999999</v>
      </c>
      <c r="V630" s="252">
        <f t="shared" si="176"/>
        <v>-690109.2000000081</v>
      </c>
      <c r="W630" s="255">
        <f t="shared" si="177"/>
        <v>-628.00000000000728</v>
      </c>
      <c r="X630" s="256" t="str">
        <f t="shared" si="181"/>
        <v/>
      </c>
      <c r="Y630" s="256" t="str">
        <f t="shared" si="182"/>
        <v/>
      </c>
      <c r="Z630" s="224" t="str">
        <f>IF(IFERROR(INDEX('tuot-rehukirjanpito'!I:I,MATCH(A630,'tuot-rehukirjanpito'!G:G,0)),)=0,"",INDEX('tuot-rehukirjanpito'!I:I,MATCH(A630,'tuot-rehukirjanpito'!G:G,0)))</f>
        <v/>
      </c>
      <c r="AA630" s="224">
        <f>SUMIFS('tuot-INFO'!$K$10:$K$115,'tuot-INFO'!$A$10:$A$115,'tuot-PVÄ'!B630)</f>
        <v>0</v>
      </c>
      <c r="AB630" s="224">
        <f>SUMIFS('rehu-vesi-INFO'!$R:$R,'rehu-vesi-INFO'!$A:$A,'tuot-PVÄ'!B630)</f>
        <v>1746</v>
      </c>
      <c r="AC630" s="224">
        <f>SUMIFS('rehu-vesi-INFO'!$S:$S,'rehu-vesi-INFO'!$A:$A,'tuot-PVÄ'!B630)</f>
        <v>1853</v>
      </c>
      <c r="AD630" s="224">
        <f t="shared" si="167"/>
        <v>107</v>
      </c>
      <c r="AE630" s="224">
        <f t="shared" si="168"/>
        <v>0</v>
      </c>
      <c r="AF630" s="224">
        <f t="shared" si="169"/>
        <v>174.6</v>
      </c>
      <c r="AG630" s="224">
        <f t="shared" si="170"/>
        <v>10.7</v>
      </c>
      <c r="AH630" s="257">
        <f t="shared" si="172"/>
        <v>0</v>
      </c>
      <c r="AI630" s="258">
        <f t="shared" si="173"/>
        <v>0</v>
      </c>
      <c r="AJ630" s="55">
        <f>SUMIFS('tuot-INFO'!W:W,'tuot-INFO'!$A:$A,'tuot-PVÄ'!B630)</f>
        <v>0</v>
      </c>
      <c r="AK630" s="55">
        <f>SUMIFS('tuot-INFO'!X:X,'tuot-INFO'!$A:$A,'tuot-PVÄ'!B630)</f>
        <v>0</v>
      </c>
    </row>
    <row r="631" spans="1:37" x14ac:dyDescent="0.25">
      <c r="A631" s="169">
        <f t="shared" si="171"/>
        <v>43117</v>
      </c>
      <c r="B631" s="23">
        <f>ROUNDUP((A631-Yleistiedot!$B$4)/7,0)</f>
        <v>107</v>
      </c>
      <c r="C631" s="16"/>
      <c r="D631" s="25"/>
      <c r="E631" s="25"/>
      <c r="F631" s="25"/>
      <c r="G631" s="25"/>
      <c r="H631" s="25"/>
      <c r="I631" s="65">
        <f t="shared" si="166"/>
        <v>0</v>
      </c>
      <c r="J631" s="26"/>
      <c r="K631" s="25"/>
      <c r="L631" s="16"/>
      <c r="M631" s="16"/>
      <c r="N631" s="25"/>
      <c r="O631" s="30"/>
      <c r="P631" s="252">
        <f t="shared" si="178"/>
        <v>9990</v>
      </c>
      <c r="Q631" s="253">
        <f t="shared" si="179"/>
        <v>0</v>
      </c>
      <c r="R631" s="253">
        <f t="shared" si="180"/>
        <v>0</v>
      </c>
      <c r="S631" s="251">
        <f>SUMIFS('tuot-rehukirjanpito'!D:D,'tuot-rehukirjanpito'!A:A,A631)</f>
        <v>0</v>
      </c>
      <c r="T631" s="254">
        <f t="shared" si="174"/>
        <v>1098.9000000000001</v>
      </c>
      <c r="U631" s="254">
        <f t="shared" si="175"/>
        <v>1098.8999999999999</v>
      </c>
      <c r="V631" s="252">
        <f t="shared" si="176"/>
        <v>-691208.10000000813</v>
      </c>
      <c r="W631" s="255">
        <f t="shared" si="177"/>
        <v>-629.00000000000739</v>
      </c>
      <c r="X631" s="256" t="str">
        <f t="shared" si="181"/>
        <v/>
      </c>
      <c r="Y631" s="256" t="str">
        <f t="shared" si="182"/>
        <v/>
      </c>
      <c r="Z631" s="224" t="str">
        <f>IF(IFERROR(INDEX('tuot-rehukirjanpito'!I:I,MATCH(A631,'tuot-rehukirjanpito'!G:G,0)),)=0,"",INDEX('tuot-rehukirjanpito'!I:I,MATCH(A631,'tuot-rehukirjanpito'!G:G,0)))</f>
        <v/>
      </c>
      <c r="AA631" s="224">
        <f>SUMIFS('tuot-INFO'!$K$10:$K$115,'tuot-INFO'!$A$10:$A$115,'tuot-PVÄ'!B631)</f>
        <v>0</v>
      </c>
      <c r="AB631" s="224">
        <f>SUMIFS('rehu-vesi-INFO'!$R:$R,'rehu-vesi-INFO'!$A:$A,'tuot-PVÄ'!B631)</f>
        <v>1746</v>
      </c>
      <c r="AC631" s="224">
        <f>SUMIFS('rehu-vesi-INFO'!$S:$S,'rehu-vesi-INFO'!$A:$A,'tuot-PVÄ'!B631)</f>
        <v>1853</v>
      </c>
      <c r="AD631" s="224">
        <f t="shared" si="167"/>
        <v>107</v>
      </c>
      <c r="AE631" s="224">
        <f t="shared" si="168"/>
        <v>0</v>
      </c>
      <c r="AF631" s="224">
        <f t="shared" si="169"/>
        <v>174.6</v>
      </c>
      <c r="AG631" s="224">
        <f t="shared" si="170"/>
        <v>10.7</v>
      </c>
      <c r="AH631" s="257">
        <f t="shared" si="172"/>
        <v>0</v>
      </c>
      <c r="AI631" s="258">
        <f t="shared" si="173"/>
        <v>0</v>
      </c>
      <c r="AJ631" s="55">
        <f>SUMIFS('tuot-INFO'!W:W,'tuot-INFO'!$A:$A,'tuot-PVÄ'!B631)</f>
        <v>0</v>
      </c>
      <c r="AK631" s="55">
        <f>SUMIFS('tuot-INFO'!X:X,'tuot-INFO'!$A:$A,'tuot-PVÄ'!B631)</f>
        <v>0</v>
      </c>
    </row>
    <row r="632" spans="1:37" x14ac:dyDescent="0.25">
      <c r="A632" s="169">
        <f t="shared" si="171"/>
        <v>43118</v>
      </c>
      <c r="B632" s="23">
        <f>ROUNDUP((A632-Yleistiedot!$B$4)/7,0)</f>
        <v>107</v>
      </c>
      <c r="C632" s="16"/>
      <c r="D632" s="25"/>
      <c r="E632" s="25"/>
      <c r="F632" s="25"/>
      <c r="G632" s="25"/>
      <c r="H632" s="25"/>
      <c r="I632" s="65">
        <f t="shared" si="166"/>
        <v>0</v>
      </c>
      <c r="J632" s="26"/>
      <c r="K632" s="25"/>
      <c r="L632" s="16"/>
      <c r="M632" s="16"/>
      <c r="N632" s="25"/>
      <c r="O632" s="30"/>
      <c r="P632" s="252">
        <f t="shared" si="178"/>
        <v>9990</v>
      </c>
      <c r="Q632" s="253">
        <f t="shared" si="179"/>
        <v>0</v>
      </c>
      <c r="R632" s="253">
        <f t="shared" si="180"/>
        <v>0</v>
      </c>
      <c r="S632" s="251">
        <f>SUMIFS('tuot-rehukirjanpito'!D:D,'tuot-rehukirjanpito'!A:A,A632)</f>
        <v>0</v>
      </c>
      <c r="T632" s="254">
        <f t="shared" si="174"/>
        <v>1098.9000000000001</v>
      </c>
      <c r="U632" s="254">
        <f t="shared" si="175"/>
        <v>1098.8999999999999</v>
      </c>
      <c r="V632" s="252">
        <f t="shared" si="176"/>
        <v>-692307.00000000815</v>
      </c>
      <c r="W632" s="255">
        <f t="shared" si="177"/>
        <v>-630.00000000000739</v>
      </c>
      <c r="X632" s="256" t="str">
        <f t="shared" si="181"/>
        <v/>
      </c>
      <c r="Y632" s="256" t="str">
        <f t="shared" si="182"/>
        <v/>
      </c>
      <c r="Z632" s="224" t="str">
        <f>IF(IFERROR(INDEX('tuot-rehukirjanpito'!I:I,MATCH(A632,'tuot-rehukirjanpito'!G:G,0)),)=0,"",INDEX('tuot-rehukirjanpito'!I:I,MATCH(A632,'tuot-rehukirjanpito'!G:G,0)))</f>
        <v/>
      </c>
      <c r="AA632" s="224">
        <f>SUMIFS('tuot-INFO'!$K$10:$K$115,'tuot-INFO'!$A$10:$A$115,'tuot-PVÄ'!B632)</f>
        <v>0</v>
      </c>
      <c r="AB632" s="224">
        <f>SUMIFS('rehu-vesi-INFO'!$R:$R,'rehu-vesi-INFO'!$A:$A,'tuot-PVÄ'!B632)</f>
        <v>1746</v>
      </c>
      <c r="AC632" s="224">
        <f>SUMIFS('rehu-vesi-INFO'!$S:$S,'rehu-vesi-INFO'!$A:$A,'tuot-PVÄ'!B632)</f>
        <v>1853</v>
      </c>
      <c r="AD632" s="224">
        <f t="shared" si="167"/>
        <v>107</v>
      </c>
      <c r="AE632" s="224">
        <f t="shared" si="168"/>
        <v>0</v>
      </c>
      <c r="AF632" s="224">
        <f t="shared" si="169"/>
        <v>174.6</v>
      </c>
      <c r="AG632" s="224">
        <f t="shared" si="170"/>
        <v>10.7</v>
      </c>
      <c r="AH632" s="257">
        <f t="shared" si="172"/>
        <v>0</v>
      </c>
      <c r="AI632" s="258">
        <f t="shared" si="173"/>
        <v>0</v>
      </c>
      <c r="AJ632" s="55">
        <f>SUMIFS('tuot-INFO'!W:W,'tuot-INFO'!$A:$A,'tuot-PVÄ'!B632)</f>
        <v>0</v>
      </c>
      <c r="AK632" s="55">
        <f>SUMIFS('tuot-INFO'!X:X,'tuot-INFO'!$A:$A,'tuot-PVÄ'!B632)</f>
        <v>0</v>
      </c>
    </row>
    <row r="633" spans="1:37" x14ac:dyDescent="0.25">
      <c r="A633" s="169">
        <f t="shared" si="171"/>
        <v>43119</v>
      </c>
      <c r="B633" s="23">
        <f>ROUNDUP((A633-Yleistiedot!$B$4)/7,0)</f>
        <v>107</v>
      </c>
      <c r="C633" s="16"/>
      <c r="D633" s="25"/>
      <c r="E633" s="25"/>
      <c r="F633" s="25"/>
      <c r="G633" s="25"/>
      <c r="H633" s="25"/>
      <c r="I633" s="65">
        <f t="shared" si="166"/>
        <v>0</v>
      </c>
      <c r="J633" s="26"/>
      <c r="K633" s="25"/>
      <c r="L633" s="16"/>
      <c r="M633" s="16"/>
      <c r="N633" s="25"/>
      <c r="O633" s="30"/>
      <c r="P633" s="252">
        <f t="shared" si="178"/>
        <v>9990</v>
      </c>
      <c r="Q633" s="253">
        <f t="shared" si="179"/>
        <v>0</v>
      </c>
      <c r="R633" s="253">
        <f t="shared" si="180"/>
        <v>0</v>
      </c>
      <c r="S633" s="251">
        <f>SUMIFS('tuot-rehukirjanpito'!D:D,'tuot-rehukirjanpito'!A:A,A633)</f>
        <v>0</v>
      </c>
      <c r="T633" s="254">
        <f t="shared" si="174"/>
        <v>1098.9000000000001</v>
      </c>
      <c r="U633" s="254">
        <f t="shared" si="175"/>
        <v>1098.8999999999999</v>
      </c>
      <c r="V633" s="252">
        <f t="shared" si="176"/>
        <v>-693405.90000000817</v>
      </c>
      <c r="W633" s="255">
        <f t="shared" si="177"/>
        <v>-631.00000000000739</v>
      </c>
      <c r="X633" s="256" t="str">
        <f t="shared" si="181"/>
        <v/>
      </c>
      <c r="Y633" s="256" t="str">
        <f t="shared" si="182"/>
        <v/>
      </c>
      <c r="Z633" s="224" t="str">
        <f>IF(IFERROR(INDEX('tuot-rehukirjanpito'!I:I,MATCH(A633,'tuot-rehukirjanpito'!G:G,0)),)=0,"",INDEX('tuot-rehukirjanpito'!I:I,MATCH(A633,'tuot-rehukirjanpito'!G:G,0)))</f>
        <v/>
      </c>
      <c r="AA633" s="224">
        <f>SUMIFS('tuot-INFO'!$K$10:$K$115,'tuot-INFO'!$A$10:$A$115,'tuot-PVÄ'!B633)</f>
        <v>0</v>
      </c>
      <c r="AB633" s="224">
        <f>SUMIFS('rehu-vesi-INFO'!$R:$R,'rehu-vesi-INFO'!$A:$A,'tuot-PVÄ'!B633)</f>
        <v>1746</v>
      </c>
      <c r="AC633" s="224">
        <f>SUMIFS('rehu-vesi-INFO'!$S:$S,'rehu-vesi-INFO'!$A:$A,'tuot-PVÄ'!B633)</f>
        <v>1853</v>
      </c>
      <c r="AD633" s="224">
        <f t="shared" si="167"/>
        <v>107</v>
      </c>
      <c r="AE633" s="224">
        <f t="shared" si="168"/>
        <v>0</v>
      </c>
      <c r="AF633" s="224">
        <f t="shared" si="169"/>
        <v>174.6</v>
      </c>
      <c r="AG633" s="224">
        <f t="shared" si="170"/>
        <v>10.7</v>
      </c>
      <c r="AH633" s="257">
        <f t="shared" si="172"/>
        <v>0</v>
      </c>
      <c r="AI633" s="258">
        <f t="shared" si="173"/>
        <v>0</v>
      </c>
      <c r="AJ633" s="55">
        <f>SUMIFS('tuot-INFO'!W:W,'tuot-INFO'!$A:$A,'tuot-PVÄ'!B633)</f>
        <v>0</v>
      </c>
      <c r="AK633" s="55">
        <f>SUMIFS('tuot-INFO'!X:X,'tuot-INFO'!$A:$A,'tuot-PVÄ'!B633)</f>
        <v>0</v>
      </c>
    </row>
    <row r="634" spans="1:37" x14ac:dyDescent="0.25">
      <c r="A634" s="169">
        <f t="shared" si="171"/>
        <v>43120</v>
      </c>
      <c r="B634" s="23">
        <f>ROUNDUP((A634-Yleistiedot!$B$4)/7,0)</f>
        <v>108</v>
      </c>
      <c r="C634" s="16"/>
      <c r="D634" s="25"/>
      <c r="E634" s="25"/>
      <c r="F634" s="25"/>
      <c r="G634" s="25"/>
      <c r="H634" s="25"/>
      <c r="I634" s="65">
        <f t="shared" si="166"/>
        <v>0</v>
      </c>
      <c r="J634" s="26"/>
      <c r="K634" s="25"/>
      <c r="L634" s="16"/>
      <c r="M634" s="16"/>
      <c r="N634" s="25"/>
      <c r="O634" s="30"/>
      <c r="P634" s="252">
        <f t="shared" si="178"/>
        <v>9990</v>
      </c>
      <c r="Q634" s="253">
        <f t="shared" si="179"/>
        <v>0</v>
      </c>
      <c r="R634" s="253">
        <f t="shared" si="180"/>
        <v>0</v>
      </c>
      <c r="S634" s="251">
        <f>SUMIFS('tuot-rehukirjanpito'!D:D,'tuot-rehukirjanpito'!A:A,A634)</f>
        <v>0</v>
      </c>
      <c r="T634" s="254">
        <f t="shared" si="174"/>
        <v>1098.9000000000001</v>
      </c>
      <c r="U634" s="254">
        <f t="shared" si="175"/>
        <v>1098.8999999999999</v>
      </c>
      <c r="V634" s="252">
        <f t="shared" si="176"/>
        <v>-694504.8000000082</v>
      </c>
      <c r="W634" s="255">
        <f t="shared" si="177"/>
        <v>-632.00000000000739</v>
      </c>
      <c r="X634" s="256" t="str">
        <f t="shared" si="181"/>
        <v/>
      </c>
      <c r="Y634" s="256" t="str">
        <f t="shared" si="182"/>
        <v/>
      </c>
      <c r="Z634" s="224" t="str">
        <f>IF(IFERROR(INDEX('tuot-rehukirjanpito'!I:I,MATCH(A634,'tuot-rehukirjanpito'!G:G,0)),)=0,"",INDEX('tuot-rehukirjanpito'!I:I,MATCH(A634,'tuot-rehukirjanpito'!G:G,0)))</f>
        <v/>
      </c>
      <c r="AA634" s="224">
        <f>SUMIFS('tuot-INFO'!$K$10:$K$115,'tuot-INFO'!$A$10:$A$115,'tuot-PVÄ'!B634)</f>
        <v>0</v>
      </c>
      <c r="AB634" s="224">
        <f>SUMIFS('rehu-vesi-INFO'!$R:$R,'rehu-vesi-INFO'!$A:$A,'tuot-PVÄ'!B634)</f>
        <v>1746</v>
      </c>
      <c r="AC634" s="224">
        <f>SUMIFS('rehu-vesi-INFO'!$S:$S,'rehu-vesi-INFO'!$A:$A,'tuot-PVÄ'!B634)</f>
        <v>1853</v>
      </c>
      <c r="AD634" s="224">
        <f t="shared" si="167"/>
        <v>107</v>
      </c>
      <c r="AE634" s="224">
        <f t="shared" si="168"/>
        <v>0</v>
      </c>
      <c r="AF634" s="224">
        <f t="shared" si="169"/>
        <v>174.6</v>
      </c>
      <c r="AG634" s="224">
        <f t="shared" si="170"/>
        <v>10.7</v>
      </c>
      <c r="AH634" s="257">
        <f t="shared" si="172"/>
        <v>0</v>
      </c>
      <c r="AI634" s="258">
        <f t="shared" si="173"/>
        <v>0</v>
      </c>
      <c r="AJ634" s="55">
        <f>SUMIFS('tuot-INFO'!W:W,'tuot-INFO'!$A:$A,'tuot-PVÄ'!B634)</f>
        <v>0</v>
      </c>
      <c r="AK634" s="55">
        <f>SUMIFS('tuot-INFO'!X:X,'tuot-INFO'!$A:$A,'tuot-PVÄ'!B634)</f>
        <v>0</v>
      </c>
    </row>
    <row r="635" spans="1:37" x14ac:dyDescent="0.25">
      <c r="A635" s="169">
        <f t="shared" si="171"/>
        <v>43121</v>
      </c>
      <c r="B635" s="23">
        <f>ROUNDUP((A635-Yleistiedot!$B$4)/7,0)</f>
        <v>108</v>
      </c>
      <c r="C635" s="16"/>
      <c r="D635" s="25"/>
      <c r="E635" s="25"/>
      <c r="F635" s="25"/>
      <c r="G635" s="25"/>
      <c r="H635" s="25"/>
      <c r="I635" s="65">
        <f t="shared" si="166"/>
        <v>0</v>
      </c>
      <c r="J635" s="26"/>
      <c r="K635" s="25"/>
      <c r="L635" s="16"/>
      <c r="M635" s="16"/>
      <c r="N635" s="25"/>
      <c r="O635" s="30"/>
      <c r="P635" s="252">
        <f t="shared" si="178"/>
        <v>9990</v>
      </c>
      <c r="Q635" s="253">
        <f t="shared" si="179"/>
        <v>0</v>
      </c>
      <c r="R635" s="253">
        <f t="shared" si="180"/>
        <v>0</v>
      </c>
      <c r="S635" s="251">
        <f>SUMIFS('tuot-rehukirjanpito'!D:D,'tuot-rehukirjanpito'!A:A,A635)</f>
        <v>0</v>
      </c>
      <c r="T635" s="254">
        <f t="shared" si="174"/>
        <v>1098.9000000000001</v>
      </c>
      <c r="U635" s="254">
        <f t="shared" si="175"/>
        <v>1098.8999999999999</v>
      </c>
      <c r="V635" s="252">
        <f t="shared" si="176"/>
        <v>-695603.70000000822</v>
      </c>
      <c r="W635" s="255">
        <f t="shared" si="177"/>
        <v>-633.00000000000739</v>
      </c>
      <c r="X635" s="256" t="str">
        <f t="shared" si="181"/>
        <v/>
      </c>
      <c r="Y635" s="256" t="str">
        <f t="shared" si="182"/>
        <v/>
      </c>
      <c r="Z635" s="224" t="str">
        <f>IF(IFERROR(INDEX('tuot-rehukirjanpito'!I:I,MATCH(A635,'tuot-rehukirjanpito'!G:G,0)),)=0,"",INDEX('tuot-rehukirjanpito'!I:I,MATCH(A635,'tuot-rehukirjanpito'!G:G,0)))</f>
        <v/>
      </c>
      <c r="AA635" s="224">
        <f>SUMIFS('tuot-INFO'!$K$10:$K$115,'tuot-INFO'!$A$10:$A$115,'tuot-PVÄ'!B635)</f>
        <v>0</v>
      </c>
      <c r="AB635" s="224">
        <f>SUMIFS('rehu-vesi-INFO'!$R:$R,'rehu-vesi-INFO'!$A:$A,'tuot-PVÄ'!B635)</f>
        <v>1746</v>
      </c>
      <c r="AC635" s="224">
        <f>SUMIFS('rehu-vesi-INFO'!$S:$S,'rehu-vesi-INFO'!$A:$A,'tuot-PVÄ'!B635)</f>
        <v>1853</v>
      </c>
      <c r="AD635" s="224">
        <f t="shared" si="167"/>
        <v>107</v>
      </c>
      <c r="AE635" s="224">
        <f t="shared" si="168"/>
        <v>0</v>
      </c>
      <c r="AF635" s="224">
        <f t="shared" si="169"/>
        <v>174.6</v>
      </c>
      <c r="AG635" s="224">
        <f t="shared" si="170"/>
        <v>10.7</v>
      </c>
      <c r="AH635" s="257">
        <f t="shared" si="172"/>
        <v>0</v>
      </c>
      <c r="AI635" s="258">
        <f t="shared" si="173"/>
        <v>0</v>
      </c>
      <c r="AJ635" s="55">
        <f>SUMIFS('tuot-INFO'!W:W,'tuot-INFO'!$A:$A,'tuot-PVÄ'!B635)</f>
        <v>0</v>
      </c>
      <c r="AK635" s="55">
        <f>SUMIFS('tuot-INFO'!X:X,'tuot-INFO'!$A:$A,'tuot-PVÄ'!B635)</f>
        <v>0</v>
      </c>
    </row>
    <row r="636" spans="1:37" x14ac:dyDescent="0.25">
      <c r="A636" s="169">
        <f t="shared" si="171"/>
        <v>43122</v>
      </c>
      <c r="B636" s="23">
        <f>ROUNDUP((A636-Yleistiedot!$B$4)/7,0)</f>
        <v>108</v>
      </c>
      <c r="C636" s="16"/>
      <c r="D636" s="25"/>
      <c r="E636" s="25"/>
      <c r="F636" s="25"/>
      <c r="G636" s="25"/>
      <c r="H636" s="25"/>
      <c r="I636" s="65">
        <f t="shared" si="166"/>
        <v>0</v>
      </c>
      <c r="J636" s="26"/>
      <c r="K636" s="25"/>
      <c r="L636" s="16"/>
      <c r="M636" s="16"/>
      <c r="N636" s="25"/>
      <c r="O636" s="30"/>
      <c r="P636" s="252">
        <f t="shared" si="178"/>
        <v>9990</v>
      </c>
      <c r="Q636" s="253">
        <f t="shared" si="179"/>
        <v>0</v>
      </c>
      <c r="R636" s="253">
        <f t="shared" si="180"/>
        <v>0</v>
      </c>
      <c r="S636" s="251">
        <f>SUMIFS('tuot-rehukirjanpito'!D:D,'tuot-rehukirjanpito'!A:A,A636)</f>
        <v>0</v>
      </c>
      <c r="T636" s="254">
        <f t="shared" si="174"/>
        <v>1098.9000000000001</v>
      </c>
      <c r="U636" s="254">
        <f t="shared" si="175"/>
        <v>1098.8999999999999</v>
      </c>
      <c r="V636" s="252">
        <f t="shared" si="176"/>
        <v>-696702.60000000824</v>
      </c>
      <c r="W636" s="255">
        <f t="shared" si="177"/>
        <v>-634.0000000000075</v>
      </c>
      <c r="X636" s="256" t="str">
        <f t="shared" si="181"/>
        <v/>
      </c>
      <c r="Y636" s="256" t="str">
        <f t="shared" si="182"/>
        <v/>
      </c>
      <c r="Z636" s="224" t="str">
        <f>IF(IFERROR(INDEX('tuot-rehukirjanpito'!I:I,MATCH(A636,'tuot-rehukirjanpito'!G:G,0)),)=0,"",INDEX('tuot-rehukirjanpito'!I:I,MATCH(A636,'tuot-rehukirjanpito'!G:G,0)))</f>
        <v/>
      </c>
      <c r="AA636" s="224">
        <f>SUMIFS('tuot-INFO'!$K$10:$K$115,'tuot-INFO'!$A$10:$A$115,'tuot-PVÄ'!B636)</f>
        <v>0</v>
      </c>
      <c r="AB636" s="224">
        <f>SUMIFS('rehu-vesi-INFO'!$R:$R,'rehu-vesi-INFO'!$A:$A,'tuot-PVÄ'!B636)</f>
        <v>1746</v>
      </c>
      <c r="AC636" s="224">
        <f>SUMIFS('rehu-vesi-INFO'!$S:$S,'rehu-vesi-INFO'!$A:$A,'tuot-PVÄ'!B636)</f>
        <v>1853</v>
      </c>
      <c r="AD636" s="224">
        <f t="shared" si="167"/>
        <v>107</v>
      </c>
      <c r="AE636" s="224">
        <f t="shared" si="168"/>
        <v>0</v>
      </c>
      <c r="AF636" s="224">
        <f t="shared" si="169"/>
        <v>174.6</v>
      </c>
      <c r="AG636" s="224">
        <f t="shared" si="170"/>
        <v>10.7</v>
      </c>
      <c r="AH636" s="257">
        <f t="shared" si="172"/>
        <v>0</v>
      </c>
      <c r="AI636" s="258">
        <f t="shared" si="173"/>
        <v>0</v>
      </c>
      <c r="AJ636" s="55">
        <f>SUMIFS('tuot-INFO'!W:W,'tuot-INFO'!$A:$A,'tuot-PVÄ'!B636)</f>
        <v>0</v>
      </c>
      <c r="AK636" s="55">
        <f>SUMIFS('tuot-INFO'!X:X,'tuot-INFO'!$A:$A,'tuot-PVÄ'!B636)</f>
        <v>0</v>
      </c>
    </row>
    <row r="637" spans="1:37" x14ac:dyDescent="0.25">
      <c r="A637" s="169">
        <f t="shared" si="171"/>
        <v>43123</v>
      </c>
      <c r="B637" s="23">
        <f>ROUNDUP((A637-Yleistiedot!$B$4)/7,0)</f>
        <v>108</v>
      </c>
      <c r="C637" s="16"/>
      <c r="D637" s="25"/>
      <c r="E637" s="25"/>
      <c r="F637" s="25"/>
      <c r="G637" s="25"/>
      <c r="H637" s="25"/>
      <c r="I637" s="65">
        <f t="shared" si="166"/>
        <v>0</v>
      </c>
      <c r="J637" s="26"/>
      <c r="K637" s="25"/>
      <c r="L637" s="16"/>
      <c r="M637" s="16"/>
      <c r="N637" s="25"/>
      <c r="O637" s="30"/>
      <c r="P637" s="252">
        <f t="shared" si="178"/>
        <v>9990</v>
      </c>
      <c r="Q637" s="253">
        <f t="shared" si="179"/>
        <v>0</v>
      </c>
      <c r="R637" s="253">
        <f t="shared" si="180"/>
        <v>0</v>
      </c>
      <c r="S637" s="251">
        <f>SUMIFS('tuot-rehukirjanpito'!D:D,'tuot-rehukirjanpito'!A:A,A637)</f>
        <v>0</v>
      </c>
      <c r="T637" s="254">
        <f t="shared" si="174"/>
        <v>1098.9000000000001</v>
      </c>
      <c r="U637" s="254">
        <f t="shared" si="175"/>
        <v>1098.8999999999999</v>
      </c>
      <c r="V637" s="252">
        <f t="shared" si="176"/>
        <v>-697801.50000000827</v>
      </c>
      <c r="W637" s="255">
        <f t="shared" si="177"/>
        <v>-635.0000000000075</v>
      </c>
      <c r="X637" s="256" t="str">
        <f t="shared" si="181"/>
        <v/>
      </c>
      <c r="Y637" s="256" t="str">
        <f t="shared" si="182"/>
        <v/>
      </c>
      <c r="Z637" s="224" t="str">
        <f>IF(IFERROR(INDEX('tuot-rehukirjanpito'!I:I,MATCH(A637,'tuot-rehukirjanpito'!G:G,0)),)=0,"",INDEX('tuot-rehukirjanpito'!I:I,MATCH(A637,'tuot-rehukirjanpito'!G:G,0)))</f>
        <v/>
      </c>
      <c r="AA637" s="224">
        <f>SUMIFS('tuot-INFO'!$K$10:$K$115,'tuot-INFO'!$A$10:$A$115,'tuot-PVÄ'!B637)</f>
        <v>0</v>
      </c>
      <c r="AB637" s="224">
        <f>SUMIFS('rehu-vesi-INFO'!$R:$R,'rehu-vesi-INFO'!$A:$A,'tuot-PVÄ'!B637)</f>
        <v>1746</v>
      </c>
      <c r="AC637" s="224">
        <f>SUMIFS('rehu-vesi-INFO'!$S:$S,'rehu-vesi-INFO'!$A:$A,'tuot-PVÄ'!B637)</f>
        <v>1853</v>
      </c>
      <c r="AD637" s="224">
        <f t="shared" si="167"/>
        <v>107</v>
      </c>
      <c r="AE637" s="224">
        <f t="shared" si="168"/>
        <v>0</v>
      </c>
      <c r="AF637" s="224">
        <f t="shared" si="169"/>
        <v>174.6</v>
      </c>
      <c r="AG637" s="224">
        <f t="shared" si="170"/>
        <v>10.7</v>
      </c>
      <c r="AH637" s="257">
        <f t="shared" si="172"/>
        <v>0</v>
      </c>
      <c r="AI637" s="258">
        <f t="shared" si="173"/>
        <v>0</v>
      </c>
      <c r="AJ637" s="55">
        <f>SUMIFS('tuot-INFO'!W:W,'tuot-INFO'!$A:$A,'tuot-PVÄ'!B637)</f>
        <v>0</v>
      </c>
      <c r="AK637" s="55">
        <f>SUMIFS('tuot-INFO'!X:X,'tuot-INFO'!$A:$A,'tuot-PVÄ'!B637)</f>
        <v>0</v>
      </c>
    </row>
    <row r="638" spans="1:37" x14ac:dyDescent="0.25">
      <c r="A638" s="169">
        <f t="shared" si="171"/>
        <v>43124</v>
      </c>
      <c r="B638" s="23">
        <f>ROUNDUP((A638-Yleistiedot!$B$4)/7,0)</f>
        <v>108</v>
      </c>
      <c r="C638" s="16"/>
      <c r="D638" s="25"/>
      <c r="E638" s="25"/>
      <c r="F638" s="25"/>
      <c r="G638" s="25"/>
      <c r="H638" s="25"/>
      <c r="I638" s="65">
        <f t="shared" si="166"/>
        <v>0</v>
      </c>
      <c r="J638" s="26"/>
      <c r="K638" s="25"/>
      <c r="L638" s="16"/>
      <c r="M638" s="16"/>
      <c r="N638" s="25"/>
      <c r="O638" s="30"/>
      <c r="P638" s="252">
        <f t="shared" si="178"/>
        <v>9990</v>
      </c>
      <c r="Q638" s="253">
        <f t="shared" si="179"/>
        <v>0</v>
      </c>
      <c r="R638" s="253">
        <f t="shared" si="180"/>
        <v>0</v>
      </c>
      <c r="S638" s="251">
        <f>SUMIFS('tuot-rehukirjanpito'!D:D,'tuot-rehukirjanpito'!A:A,A638)</f>
        <v>0</v>
      </c>
      <c r="T638" s="254">
        <f t="shared" si="174"/>
        <v>1098.9000000000001</v>
      </c>
      <c r="U638" s="254">
        <f t="shared" si="175"/>
        <v>1098.8999999999999</v>
      </c>
      <c r="V638" s="252">
        <f t="shared" si="176"/>
        <v>-698900.40000000829</v>
      </c>
      <c r="W638" s="255">
        <f t="shared" si="177"/>
        <v>-636.0000000000075</v>
      </c>
      <c r="X638" s="256" t="str">
        <f t="shared" si="181"/>
        <v/>
      </c>
      <c r="Y638" s="256" t="str">
        <f t="shared" si="182"/>
        <v/>
      </c>
      <c r="Z638" s="224" t="str">
        <f>IF(IFERROR(INDEX('tuot-rehukirjanpito'!I:I,MATCH(A638,'tuot-rehukirjanpito'!G:G,0)),)=0,"",INDEX('tuot-rehukirjanpito'!I:I,MATCH(A638,'tuot-rehukirjanpito'!G:G,0)))</f>
        <v/>
      </c>
      <c r="AA638" s="224">
        <f>SUMIFS('tuot-INFO'!$K$10:$K$115,'tuot-INFO'!$A$10:$A$115,'tuot-PVÄ'!B638)</f>
        <v>0</v>
      </c>
      <c r="AB638" s="224">
        <f>SUMIFS('rehu-vesi-INFO'!$R:$R,'rehu-vesi-INFO'!$A:$A,'tuot-PVÄ'!B638)</f>
        <v>1746</v>
      </c>
      <c r="AC638" s="224">
        <f>SUMIFS('rehu-vesi-INFO'!$S:$S,'rehu-vesi-INFO'!$A:$A,'tuot-PVÄ'!B638)</f>
        <v>1853</v>
      </c>
      <c r="AD638" s="224">
        <f t="shared" si="167"/>
        <v>107</v>
      </c>
      <c r="AE638" s="224">
        <f t="shared" si="168"/>
        <v>0</v>
      </c>
      <c r="AF638" s="224">
        <f t="shared" si="169"/>
        <v>174.6</v>
      </c>
      <c r="AG638" s="224">
        <f t="shared" si="170"/>
        <v>10.7</v>
      </c>
      <c r="AH638" s="257">
        <f t="shared" si="172"/>
        <v>0</v>
      </c>
      <c r="AI638" s="258">
        <f t="shared" si="173"/>
        <v>0</v>
      </c>
      <c r="AJ638" s="55">
        <f>SUMIFS('tuot-INFO'!W:W,'tuot-INFO'!$A:$A,'tuot-PVÄ'!B638)</f>
        <v>0</v>
      </c>
      <c r="AK638" s="55">
        <f>SUMIFS('tuot-INFO'!X:X,'tuot-INFO'!$A:$A,'tuot-PVÄ'!B638)</f>
        <v>0</v>
      </c>
    </row>
    <row r="639" spans="1:37" x14ac:dyDescent="0.25">
      <c r="A639" s="169">
        <f t="shared" si="171"/>
        <v>43125</v>
      </c>
      <c r="B639" s="23">
        <f>ROUNDUP((A639-Yleistiedot!$B$4)/7,0)</f>
        <v>108</v>
      </c>
      <c r="C639" s="16"/>
      <c r="D639" s="25"/>
      <c r="E639" s="25"/>
      <c r="F639" s="25"/>
      <c r="G639" s="25"/>
      <c r="H639" s="25"/>
      <c r="I639" s="65">
        <f t="shared" si="166"/>
        <v>0</v>
      </c>
      <c r="J639" s="26"/>
      <c r="K639" s="25"/>
      <c r="L639" s="16"/>
      <c r="M639" s="16"/>
      <c r="N639" s="25"/>
      <c r="O639" s="30"/>
      <c r="P639" s="252">
        <f t="shared" si="178"/>
        <v>9990</v>
      </c>
      <c r="Q639" s="253">
        <f t="shared" si="179"/>
        <v>0</v>
      </c>
      <c r="R639" s="253">
        <f t="shared" si="180"/>
        <v>0</v>
      </c>
      <c r="S639" s="251">
        <f>SUMIFS('tuot-rehukirjanpito'!D:D,'tuot-rehukirjanpito'!A:A,A639)</f>
        <v>0</v>
      </c>
      <c r="T639" s="254">
        <f t="shared" si="174"/>
        <v>1098.9000000000001</v>
      </c>
      <c r="U639" s="254">
        <f t="shared" si="175"/>
        <v>1098.8999999999999</v>
      </c>
      <c r="V639" s="252">
        <f t="shared" si="176"/>
        <v>-699999.30000000831</v>
      </c>
      <c r="W639" s="255">
        <f t="shared" si="177"/>
        <v>-637.0000000000075</v>
      </c>
      <c r="X639" s="256" t="str">
        <f t="shared" si="181"/>
        <v/>
      </c>
      <c r="Y639" s="256" t="str">
        <f t="shared" si="182"/>
        <v/>
      </c>
      <c r="Z639" s="224" t="str">
        <f>IF(IFERROR(INDEX('tuot-rehukirjanpito'!I:I,MATCH(A639,'tuot-rehukirjanpito'!G:G,0)),)=0,"",INDEX('tuot-rehukirjanpito'!I:I,MATCH(A639,'tuot-rehukirjanpito'!G:G,0)))</f>
        <v/>
      </c>
      <c r="AA639" s="224">
        <f>SUMIFS('tuot-INFO'!$K$10:$K$115,'tuot-INFO'!$A$10:$A$115,'tuot-PVÄ'!B639)</f>
        <v>0</v>
      </c>
      <c r="AB639" s="224">
        <f>SUMIFS('rehu-vesi-INFO'!$R:$R,'rehu-vesi-INFO'!$A:$A,'tuot-PVÄ'!B639)</f>
        <v>1746</v>
      </c>
      <c r="AC639" s="224">
        <f>SUMIFS('rehu-vesi-INFO'!$S:$S,'rehu-vesi-INFO'!$A:$A,'tuot-PVÄ'!B639)</f>
        <v>1853</v>
      </c>
      <c r="AD639" s="224">
        <f t="shared" si="167"/>
        <v>107</v>
      </c>
      <c r="AE639" s="224">
        <f t="shared" si="168"/>
        <v>0</v>
      </c>
      <c r="AF639" s="224">
        <f t="shared" si="169"/>
        <v>174.6</v>
      </c>
      <c r="AG639" s="224">
        <f t="shared" si="170"/>
        <v>10.7</v>
      </c>
      <c r="AH639" s="257">
        <f t="shared" si="172"/>
        <v>0</v>
      </c>
      <c r="AI639" s="258">
        <f t="shared" si="173"/>
        <v>0</v>
      </c>
      <c r="AJ639" s="55">
        <f>SUMIFS('tuot-INFO'!W:W,'tuot-INFO'!$A:$A,'tuot-PVÄ'!B639)</f>
        <v>0</v>
      </c>
      <c r="AK639" s="55">
        <f>SUMIFS('tuot-INFO'!X:X,'tuot-INFO'!$A:$A,'tuot-PVÄ'!B639)</f>
        <v>0</v>
      </c>
    </row>
    <row r="640" spans="1:37" x14ac:dyDescent="0.25">
      <c r="A640" s="169">
        <f t="shared" si="171"/>
        <v>43126</v>
      </c>
      <c r="B640" s="23">
        <f>ROUNDUP((A640-Yleistiedot!$B$4)/7,0)</f>
        <v>108</v>
      </c>
      <c r="C640" s="16"/>
      <c r="D640" s="25"/>
      <c r="E640" s="25"/>
      <c r="F640" s="25"/>
      <c r="G640" s="25"/>
      <c r="H640" s="25"/>
      <c r="I640" s="65">
        <f t="shared" si="166"/>
        <v>0</v>
      </c>
      <c r="J640" s="26"/>
      <c r="K640" s="25"/>
      <c r="L640" s="16"/>
      <c r="M640" s="16"/>
      <c r="N640" s="25"/>
      <c r="O640" s="30"/>
      <c r="P640" s="252">
        <f t="shared" si="178"/>
        <v>9990</v>
      </c>
      <c r="Q640" s="253">
        <f t="shared" si="179"/>
        <v>0</v>
      </c>
      <c r="R640" s="253">
        <f t="shared" si="180"/>
        <v>0</v>
      </c>
      <c r="S640" s="251">
        <f>SUMIFS('tuot-rehukirjanpito'!D:D,'tuot-rehukirjanpito'!A:A,A640)</f>
        <v>0</v>
      </c>
      <c r="T640" s="254">
        <f t="shared" si="174"/>
        <v>1098.9000000000001</v>
      </c>
      <c r="U640" s="254">
        <f t="shared" si="175"/>
        <v>1098.8999999999999</v>
      </c>
      <c r="V640" s="252">
        <f t="shared" si="176"/>
        <v>-701098.20000000834</v>
      </c>
      <c r="W640" s="255">
        <f t="shared" si="177"/>
        <v>-638.0000000000075</v>
      </c>
      <c r="X640" s="256" t="str">
        <f t="shared" si="181"/>
        <v/>
      </c>
      <c r="Y640" s="256" t="str">
        <f t="shared" si="182"/>
        <v/>
      </c>
      <c r="Z640" s="224" t="str">
        <f>IF(IFERROR(INDEX('tuot-rehukirjanpito'!I:I,MATCH(A640,'tuot-rehukirjanpito'!G:G,0)),)=0,"",INDEX('tuot-rehukirjanpito'!I:I,MATCH(A640,'tuot-rehukirjanpito'!G:G,0)))</f>
        <v/>
      </c>
      <c r="AA640" s="224">
        <f>SUMIFS('tuot-INFO'!$K$10:$K$115,'tuot-INFO'!$A$10:$A$115,'tuot-PVÄ'!B640)</f>
        <v>0</v>
      </c>
      <c r="AB640" s="224">
        <f>SUMIFS('rehu-vesi-INFO'!$R:$R,'rehu-vesi-INFO'!$A:$A,'tuot-PVÄ'!B640)</f>
        <v>1746</v>
      </c>
      <c r="AC640" s="224">
        <f>SUMIFS('rehu-vesi-INFO'!$S:$S,'rehu-vesi-INFO'!$A:$A,'tuot-PVÄ'!B640)</f>
        <v>1853</v>
      </c>
      <c r="AD640" s="224">
        <f t="shared" si="167"/>
        <v>107</v>
      </c>
      <c r="AE640" s="224">
        <f t="shared" si="168"/>
        <v>0</v>
      </c>
      <c r="AF640" s="224">
        <f t="shared" si="169"/>
        <v>174.6</v>
      </c>
      <c r="AG640" s="224">
        <f t="shared" si="170"/>
        <v>10.7</v>
      </c>
      <c r="AH640" s="257">
        <f t="shared" si="172"/>
        <v>0</v>
      </c>
      <c r="AI640" s="258">
        <f t="shared" si="173"/>
        <v>0</v>
      </c>
      <c r="AJ640" s="55">
        <f>SUMIFS('tuot-INFO'!W:W,'tuot-INFO'!$A:$A,'tuot-PVÄ'!B640)</f>
        <v>0</v>
      </c>
      <c r="AK640" s="55">
        <f>SUMIFS('tuot-INFO'!X:X,'tuot-INFO'!$A:$A,'tuot-PVÄ'!B640)</f>
        <v>0</v>
      </c>
    </row>
    <row r="641" spans="1:37" x14ac:dyDescent="0.25">
      <c r="A641" s="169">
        <f t="shared" si="171"/>
        <v>43127</v>
      </c>
      <c r="B641" s="23">
        <f>ROUNDUP((A641-Yleistiedot!$B$4)/7,0)</f>
        <v>109</v>
      </c>
      <c r="C641" s="16"/>
      <c r="D641" s="25"/>
      <c r="E641" s="25"/>
      <c r="F641" s="25"/>
      <c r="G641" s="25"/>
      <c r="H641" s="25"/>
      <c r="I641" s="65">
        <f t="shared" si="166"/>
        <v>0</v>
      </c>
      <c r="J641" s="26"/>
      <c r="K641" s="25"/>
      <c r="L641" s="16"/>
      <c r="M641" s="16"/>
      <c r="N641" s="25"/>
      <c r="O641" s="30"/>
      <c r="P641" s="252">
        <f t="shared" si="178"/>
        <v>9990</v>
      </c>
      <c r="Q641" s="253">
        <f t="shared" si="179"/>
        <v>0</v>
      </c>
      <c r="R641" s="253">
        <f t="shared" si="180"/>
        <v>0</v>
      </c>
      <c r="S641" s="251">
        <f>SUMIFS('tuot-rehukirjanpito'!D:D,'tuot-rehukirjanpito'!A:A,A641)</f>
        <v>0</v>
      </c>
      <c r="T641" s="254">
        <f t="shared" si="174"/>
        <v>1098.9000000000001</v>
      </c>
      <c r="U641" s="254">
        <f t="shared" si="175"/>
        <v>1098.8999999999999</v>
      </c>
      <c r="V641" s="252">
        <f t="shared" si="176"/>
        <v>-702197.10000000836</v>
      </c>
      <c r="W641" s="255">
        <f t="shared" si="177"/>
        <v>-639.0000000000075</v>
      </c>
      <c r="X641" s="256" t="str">
        <f t="shared" si="181"/>
        <v/>
      </c>
      <c r="Y641" s="256" t="str">
        <f t="shared" si="182"/>
        <v/>
      </c>
      <c r="Z641" s="224" t="str">
        <f>IF(IFERROR(INDEX('tuot-rehukirjanpito'!I:I,MATCH(A641,'tuot-rehukirjanpito'!G:G,0)),)=0,"",INDEX('tuot-rehukirjanpito'!I:I,MATCH(A641,'tuot-rehukirjanpito'!G:G,0)))</f>
        <v/>
      </c>
      <c r="AA641" s="224">
        <f>SUMIFS('tuot-INFO'!$K$10:$K$115,'tuot-INFO'!$A$10:$A$115,'tuot-PVÄ'!B641)</f>
        <v>0</v>
      </c>
      <c r="AB641" s="224">
        <f>SUMIFS('rehu-vesi-INFO'!$R:$R,'rehu-vesi-INFO'!$A:$A,'tuot-PVÄ'!B641)</f>
        <v>1746</v>
      </c>
      <c r="AC641" s="224">
        <f>SUMIFS('rehu-vesi-INFO'!$S:$S,'rehu-vesi-INFO'!$A:$A,'tuot-PVÄ'!B641)</f>
        <v>1853</v>
      </c>
      <c r="AD641" s="224">
        <f t="shared" si="167"/>
        <v>107</v>
      </c>
      <c r="AE641" s="224">
        <f t="shared" si="168"/>
        <v>0</v>
      </c>
      <c r="AF641" s="224">
        <f t="shared" si="169"/>
        <v>174.6</v>
      </c>
      <c r="AG641" s="224">
        <f t="shared" si="170"/>
        <v>10.7</v>
      </c>
      <c r="AH641" s="257">
        <f t="shared" si="172"/>
        <v>0</v>
      </c>
      <c r="AI641" s="258">
        <f t="shared" si="173"/>
        <v>0</v>
      </c>
      <c r="AJ641" s="55">
        <f>SUMIFS('tuot-INFO'!W:W,'tuot-INFO'!$A:$A,'tuot-PVÄ'!B641)</f>
        <v>0</v>
      </c>
      <c r="AK641" s="55">
        <f>SUMIFS('tuot-INFO'!X:X,'tuot-INFO'!$A:$A,'tuot-PVÄ'!B641)</f>
        <v>0</v>
      </c>
    </row>
    <row r="642" spans="1:37" x14ac:dyDescent="0.25">
      <c r="A642" s="169">
        <f t="shared" si="171"/>
        <v>43128</v>
      </c>
      <c r="B642" s="23">
        <f>ROUNDUP((A642-Yleistiedot!$B$4)/7,0)</f>
        <v>109</v>
      </c>
      <c r="C642" s="16"/>
      <c r="D642" s="25"/>
      <c r="E642" s="25"/>
      <c r="F642" s="25"/>
      <c r="G642" s="25"/>
      <c r="H642" s="25"/>
      <c r="I642" s="65">
        <f t="shared" si="166"/>
        <v>0</v>
      </c>
      <c r="J642" s="26"/>
      <c r="K642" s="25"/>
      <c r="L642" s="16"/>
      <c r="M642" s="16"/>
      <c r="N642" s="25"/>
      <c r="O642" s="30"/>
      <c r="P642" s="252">
        <f t="shared" si="178"/>
        <v>9990</v>
      </c>
      <c r="Q642" s="253">
        <f t="shared" si="179"/>
        <v>0</v>
      </c>
      <c r="R642" s="253">
        <f t="shared" si="180"/>
        <v>0</v>
      </c>
      <c r="S642" s="251">
        <f>SUMIFS('tuot-rehukirjanpito'!D:D,'tuot-rehukirjanpito'!A:A,A642)</f>
        <v>0</v>
      </c>
      <c r="T642" s="254">
        <f t="shared" si="174"/>
        <v>1098.9000000000001</v>
      </c>
      <c r="U642" s="254">
        <f t="shared" si="175"/>
        <v>1098.8999999999999</v>
      </c>
      <c r="V642" s="252">
        <f t="shared" si="176"/>
        <v>-703296.00000000838</v>
      </c>
      <c r="W642" s="255">
        <f t="shared" si="177"/>
        <v>-640.00000000000762</v>
      </c>
      <c r="X642" s="256" t="str">
        <f t="shared" si="181"/>
        <v/>
      </c>
      <c r="Y642" s="256" t="str">
        <f t="shared" si="182"/>
        <v/>
      </c>
      <c r="Z642" s="224" t="str">
        <f>IF(IFERROR(INDEX('tuot-rehukirjanpito'!I:I,MATCH(A642,'tuot-rehukirjanpito'!G:G,0)),)=0,"",INDEX('tuot-rehukirjanpito'!I:I,MATCH(A642,'tuot-rehukirjanpito'!G:G,0)))</f>
        <v/>
      </c>
      <c r="AA642" s="224">
        <f>SUMIFS('tuot-INFO'!$K$10:$K$115,'tuot-INFO'!$A$10:$A$115,'tuot-PVÄ'!B642)</f>
        <v>0</v>
      </c>
      <c r="AB642" s="224">
        <f>SUMIFS('rehu-vesi-INFO'!$R:$R,'rehu-vesi-INFO'!$A:$A,'tuot-PVÄ'!B642)</f>
        <v>1746</v>
      </c>
      <c r="AC642" s="224">
        <f>SUMIFS('rehu-vesi-INFO'!$S:$S,'rehu-vesi-INFO'!$A:$A,'tuot-PVÄ'!B642)</f>
        <v>1853</v>
      </c>
      <c r="AD642" s="224">
        <f t="shared" si="167"/>
        <v>107</v>
      </c>
      <c r="AE642" s="224">
        <f t="shared" si="168"/>
        <v>0</v>
      </c>
      <c r="AF642" s="224">
        <f t="shared" si="169"/>
        <v>174.6</v>
      </c>
      <c r="AG642" s="224">
        <f t="shared" si="170"/>
        <v>10.7</v>
      </c>
      <c r="AH642" s="257">
        <f t="shared" si="172"/>
        <v>0</v>
      </c>
      <c r="AI642" s="258">
        <f t="shared" si="173"/>
        <v>0</v>
      </c>
      <c r="AJ642" s="55">
        <f>SUMIFS('tuot-INFO'!W:W,'tuot-INFO'!$A:$A,'tuot-PVÄ'!B642)</f>
        <v>0</v>
      </c>
      <c r="AK642" s="55">
        <f>SUMIFS('tuot-INFO'!X:X,'tuot-INFO'!$A:$A,'tuot-PVÄ'!B642)</f>
        <v>0</v>
      </c>
    </row>
    <row r="643" spans="1:37" x14ac:dyDescent="0.25">
      <c r="A643" s="169">
        <f t="shared" si="171"/>
        <v>43129</v>
      </c>
      <c r="B643" s="23">
        <f>ROUNDUP((A643-Yleistiedot!$B$4)/7,0)</f>
        <v>109</v>
      </c>
      <c r="C643" s="16"/>
      <c r="D643" s="25"/>
      <c r="E643" s="25"/>
      <c r="F643" s="25"/>
      <c r="G643" s="25"/>
      <c r="H643" s="25"/>
      <c r="I643" s="65">
        <f t="shared" si="166"/>
        <v>0</v>
      </c>
      <c r="J643" s="26"/>
      <c r="K643" s="25"/>
      <c r="L643" s="16"/>
      <c r="M643" s="16"/>
      <c r="N643" s="25"/>
      <c r="O643" s="30"/>
      <c r="P643" s="252">
        <f t="shared" si="178"/>
        <v>9990</v>
      </c>
      <c r="Q643" s="253">
        <f t="shared" si="179"/>
        <v>0</v>
      </c>
      <c r="R643" s="253">
        <f t="shared" si="180"/>
        <v>0</v>
      </c>
      <c r="S643" s="251">
        <f>SUMIFS('tuot-rehukirjanpito'!D:D,'tuot-rehukirjanpito'!A:A,A643)</f>
        <v>0</v>
      </c>
      <c r="T643" s="254">
        <f t="shared" si="174"/>
        <v>1098.9000000000001</v>
      </c>
      <c r="U643" s="254">
        <f t="shared" si="175"/>
        <v>1098.8999999999999</v>
      </c>
      <c r="V643" s="252">
        <f t="shared" si="176"/>
        <v>-704394.90000000841</v>
      </c>
      <c r="W643" s="255">
        <f t="shared" si="177"/>
        <v>-641.00000000000762</v>
      </c>
      <c r="X643" s="256" t="str">
        <f t="shared" si="181"/>
        <v/>
      </c>
      <c r="Y643" s="256" t="str">
        <f t="shared" si="182"/>
        <v/>
      </c>
      <c r="Z643" s="224" t="str">
        <f>IF(IFERROR(INDEX('tuot-rehukirjanpito'!I:I,MATCH(A643,'tuot-rehukirjanpito'!G:G,0)),)=0,"",INDEX('tuot-rehukirjanpito'!I:I,MATCH(A643,'tuot-rehukirjanpito'!G:G,0)))</f>
        <v/>
      </c>
      <c r="AA643" s="224">
        <f>SUMIFS('tuot-INFO'!$K$10:$K$115,'tuot-INFO'!$A$10:$A$115,'tuot-PVÄ'!B643)</f>
        <v>0</v>
      </c>
      <c r="AB643" s="224">
        <f>SUMIFS('rehu-vesi-INFO'!$R:$R,'rehu-vesi-INFO'!$A:$A,'tuot-PVÄ'!B643)</f>
        <v>1746</v>
      </c>
      <c r="AC643" s="224">
        <f>SUMIFS('rehu-vesi-INFO'!$S:$S,'rehu-vesi-INFO'!$A:$A,'tuot-PVÄ'!B643)</f>
        <v>1853</v>
      </c>
      <c r="AD643" s="224">
        <f t="shared" si="167"/>
        <v>107</v>
      </c>
      <c r="AE643" s="224">
        <f t="shared" si="168"/>
        <v>0</v>
      </c>
      <c r="AF643" s="224">
        <f t="shared" si="169"/>
        <v>174.6</v>
      </c>
      <c r="AG643" s="224">
        <f t="shared" si="170"/>
        <v>10.7</v>
      </c>
      <c r="AH643" s="257">
        <f t="shared" si="172"/>
        <v>0</v>
      </c>
      <c r="AI643" s="258">
        <f t="shared" si="173"/>
        <v>0</v>
      </c>
      <c r="AJ643" s="55">
        <f>SUMIFS('tuot-INFO'!W:W,'tuot-INFO'!$A:$A,'tuot-PVÄ'!B643)</f>
        <v>0</v>
      </c>
      <c r="AK643" s="55">
        <f>SUMIFS('tuot-INFO'!X:X,'tuot-INFO'!$A:$A,'tuot-PVÄ'!B643)</f>
        <v>0</v>
      </c>
    </row>
    <row r="644" spans="1:37" x14ac:dyDescent="0.25">
      <c r="A644" s="169">
        <f t="shared" si="171"/>
        <v>43130</v>
      </c>
      <c r="B644" s="23">
        <f>ROUNDUP((A644-Yleistiedot!$B$4)/7,0)</f>
        <v>109</v>
      </c>
      <c r="C644" s="16"/>
      <c r="D644" s="25"/>
      <c r="E644" s="25"/>
      <c r="F644" s="25"/>
      <c r="G644" s="25"/>
      <c r="H644" s="25"/>
      <c r="I644" s="65">
        <f t="shared" ref="I644:I707" si="183">SUM(E644:H644)</f>
        <v>0</v>
      </c>
      <c r="J644" s="26"/>
      <c r="K644" s="25"/>
      <c r="L644" s="16"/>
      <c r="M644" s="16"/>
      <c r="N644" s="25"/>
      <c r="O644" s="30"/>
      <c r="P644" s="252">
        <f t="shared" si="178"/>
        <v>9990</v>
      </c>
      <c r="Q644" s="253">
        <f t="shared" si="179"/>
        <v>0</v>
      </c>
      <c r="R644" s="253">
        <f t="shared" si="180"/>
        <v>0</v>
      </c>
      <c r="S644" s="251">
        <f>SUMIFS('tuot-rehukirjanpito'!D:D,'tuot-rehukirjanpito'!A:A,A644)</f>
        <v>0</v>
      </c>
      <c r="T644" s="254">
        <f t="shared" si="174"/>
        <v>1098.9000000000001</v>
      </c>
      <c r="U644" s="254">
        <f t="shared" si="175"/>
        <v>1098.8999999999999</v>
      </c>
      <c r="V644" s="252">
        <f t="shared" si="176"/>
        <v>-705493.80000000843</v>
      </c>
      <c r="W644" s="255">
        <f t="shared" si="177"/>
        <v>-642.00000000000762</v>
      </c>
      <c r="X644" s="256" t="str">
        <f t="shared" si="181"/>
        <v/>
      </c>
      <c r="Y644" s="256" t="str">
        <f t="shared" si="182"/>
        <v/>
      </c>
      <c r="Z644" s="224" t="str">
        <f>IF(IFERROR(INDEX('tuot-rehukirjanpito'!I:I,MATCH(A644,'tuot-rehukirjanpito'!G:G,0)),)=0,"",INDEX('tuot-rehukirjanpito'!I:I,MATCH(A644,'tuot-rehukirjanpito'!G:G,0)))</f>
        <v/>
      </c>
      <c r="AA644" s="224">
        <f>SUMIFS('tuot-INFO'!$K$10:$K$115,'tuot-INFO'!$A$10:$A$115,'tuot-PVÄ'!B644)</f>
        <v>0</v>
      </c>
      <c r="AB644" s="224">
        <f>SUMIFS('rehu-vesi-INFO'!$R:$R,'rehu-vesi-INFO'!$A:$A,'tuot-PVÄ'!B644)</f>
        <v>1746</v>
      </c>
      <c r="AC644" s="224">
        <f>SUMIFS('rehu-vesi-INFO'!$S:$S,'rehu-vesi-INFO'!$A:$A,'tuot-PVÄ'!B644)</f>
        <v>1853</v>
      </c>
      <c r="AD644" s="224">
        <f t="shared" ref="AD644:AD707" si="184">AC644-AB644</f>
        <v>107</v>
      </c>
      <c r="AE644" s="224">
        <f t="shared" ref="AE644:AE707" si="185">K644/10</f>
        <v>0</v>
      </c>
      <c r="AF644" s="224">
        <f t="shared" ref="AF644:AF707" si="186">AB644/10</f>
        <v>174.6</v>
      </c>
      <c r="AG644" s="224">
        <f t="shared" ref="AG644:AG707" si="187">AD644/10</f>
        <v>10.7</v>
      </c>
      <c r="AH644" s="257">
        <f t="shared" si="172"/>
        <v>0</v>
      </c>
      <c r="AI644" s="258">
        <f t="shared" si="173"/>
        <v>0</v>
      </c>
      <c r="AJ644" s="55">
        <f>SUMIFS('tuot-INFO'!W:W,'tuot-INFO'!$A:$A,'tuot-PVÄ'!B644)</f>
        <v>0</v>
      </c>
      <c r="AK644" s="55">
        <f>SUMIFS('tuot-INFO'!X:X,'tuot-INFO'!$A:$A,'tuot-PVÄ'!B644)</f>
        <v>0</v>
      </c>
    </row>
    <row r="645" spans="1:37" x14ac:dyDescent="0.25">
      <c r="A645" s="169">
        <f t="shared" ref="A645:A708" si="188">A644+1</f>
        <v>43131</v>
      </c>
      <c r="B645" s="23">
        <f>ROUNDUP((A645-Yleistiedot!$B$4)/7,0)</f>
        <v>109</v>
      </c>
      <c r="C645" s="16"/>
      <c r="D645" s="25"/>
      <c r="E645" s="25"/>
      <c r="F645" s="25"/>
      <c r="G645" s="25"/>
      <c r="H645" s="25"/>
      <c r="I645" s="65">
        <f t="shared" si="183"/>
        <v>0</v>
      </c>
      <c r="J645" s="26"/>
      <c r="K645" s="25"/>
      <c r="L645" s="16"/>
      <c r="M645" s="16"/>
      <c r="N645" s="25"/>
      <c r="O645" s="30"/>
      <c r="P645" s="252">
        <f t="shared" si="178"/>
        <v>9990</v>
      </c>
      <c r="Q645" s="253">
        <f t="shared" si="179"/>
        <v>0</v>
      </c>
      <c r="R645" s="253">
        <f t="shared" si="180"/>
        <v>0</v>
      </c>
      <c r="S645" s="251">
        <f>SUMIFS('tuot-rehukirjanpito'!D:D,'tuot-rehukirjanpito'!A:A,A645)</f>
        <v>0</v>
      </c>
      <c r="T645" s="254">
        <f t="shared" si="174"/>
        <v>1098.9000000000001</v>
      </c>
      <c r="U645" s="254">
        <f t="shared" si="175"/>
        <v>1098.8999999999999</v>
      </c>
      <c r="V645" s="252">
        <f t="shared" si="176"/>
        <v>-706592.70000000845</v>
      </c>
      <c r="W645" s="255">
        <f t="shared" si="177"/>
        <v>-643.00000000000762</v>
      </c>
      <c r="X645" s="256" t="str">
        <f t="shared" si="181"/>
        <v/>
      </c>
      <c r="Y645" s="256" t="str">
        <f t="shared" si="182"/>
        <v/>
      </c>
      <c r="Z645" s="224" t="str">
        <f>IF(IFERROR(INDEX('tuot-rehukirjanpito'!I:I,MATCH(A645,'tuot-rehukirjanpito'!G:G,0)),)=0,"",INDEX('tuot-rehukirjanpito'!I:I,MATCH(A645,'tuot-rehukirjanpito'!G:G,0)))</f>
        <v/>
      </c>
      <c r="AA645" s="224">
        <f>SUMIFS('tuot-INFO'!$K$10:$K$115,'tuot-INFO'!$A$10:$A$115,'tuot-PVÄ'!B645)</f>
        <v>0</v>
      </c>
      <c r="AB645" s="224">
        <f>SUMIFS('rehu-vesi-INFO'!$R:$R,'rehu-vesi-INFO'!$A:$A,'tuot-PVÄ'!B645)</f>
        <v>1746</v>
      </c>
      <c r="AC645" s="224">
        <f>SUMIFS('rehu-vesi-INFO'!$S:$S,'rehu-vesi-INFO'!$A:$A,'tuot-PVÄ'!B645)</f>
        <v>1853</v>
      </c>
      <c r="AD645" s="224">
        <f t="shared" si="184"/>
        <v>107</v>
      </c>
      <c r="AE645" s="224">
        <f t="shared" si="185"/>
        <v>0</v>
      </c>
      <c r="AF645" s="224">
        <f t="shared" si="186"/>
        <v>174.6</v>
      </c>
      <c r="AG645" s="224">
        <f t="shared" si="187"/>
        <v>10.7</v>
      </c>
      <c r="AH645" s="257">
        <f t="shared" si="172"/>
        <v>0</v>
      </c>
      <c r="AI645" s="258">
        <f t="shared" si="173"/>
        <v>0</v>
      </c>
      <c r="AJ645" s="55">
        <f>SUMIFS('tuot-INFO'!W:W,'tuot-INFO'!$A:$A,'tuot-PVÄ'!B645)</f>
        <v>0</v>
      </c>
      <c r="AK645" s="55">
        <f>SUMIFS('tuot-INFO'!X:X,'tuot-INFO'!$A:$A,'tuot-PVÄ'!B645)</f>
        <v>0</v>
      </c>
    </row>
    <row r="646" spans="1:37" x14ac:dyDescent="0.25">
      <c r="A646" s="169">
        <f t="shared" si="188"/>
        <v>43132</v>
      </c>
      <c r="B646" s="23">
        <f>ROUNDUP((A646-Yleistiedot!$B$4)/7,0)</f>
        <v>109</v>
      </c>
      <c r="C646" s="16"/>
      <c r="D646" s="25"/>
      <c r="E646" s="25"/>
      <c r="F646" s="25"/>
      <c r="G646" s="25"/>
      <c r="H646" s="25"/>
      <c r="I646" s="65">
        <f t="shared" si="183"/>
        <v>0</v>
      </c>
      <c r="J646" s="26"/>
      <c r="K646" s="25"/>
      <c r="L646" s="16"/>
      <c r="M646" s="16"/>
      <c r="N646" s="25"/>
      <c r="O646" s="30"/>
      <c r="P646" s="252">
        <f t="shared" si="178"/>
        <v>9990</v>
      </c>
      <c r="Q646" s="253">
        <f t="shared" si="179"/>
        <v>0</v>
      </c>
      <c r="R646" s="253">
        <f t="shared" si="180"/>
        <v>0</v>
      </c>
      <c r="S646" s="251">
        <f>SUMIFS('tuot-rehukirjanpito'!D:D,'tuot-rehukirjanpito'!A:A,A646)</f>
        <v>0</v>
      </c>
      <c r="T646" s="254">
        <f t="shared" si="174"/>
        <v>1098.9000000000001</v>
      </c>
      <c r="U646" s="254">
        <f t="shared" si="175"/>
        <v>1098.8999999999999</v>
      </c>
      <c r="V646" s="252">
        <f t="shared" si="176"/>
        <v>-707691.60000000848</v>
      </c>
      <c r="W646" s="255">
        <f t="shared" si="177"/>
        <v>-644.00000000000762</v>
      </c>
      <c r="X646" s="256" t="str">
        <f t="shared" si="181"/>
        <v/>
      </c>
      <c r="Y646" s="256" t="str">
        <f t="shared" si="182"/>
        <v/>
      </c>
      <c r="Z646" s="224" t="str">
        <f>IF(IFERROR(INDEX('tuot-rehukirjanpito'!I:I,MATCH(A646,'tuot-rehukirjanpito'!G:G,0)),)=0,"",INDEX('tuot-rehukirjanpito'!I:I,MATCH(A646,'tuot-rehukirjanpito'!G:G,0)))</f>
        <v/>
      </c>
      <c r="AA646" s="224">
        <f>SUMIFS('tuot-INFO'!$K$10:$K$115,'tuot-INFO'!$A$10:$A$115,'tuot-PVÄ'!B646)</f>
        <v>0</v>
      </c>
      <c r="AB646" s="224">
        <f>SUMIFS('rehu-vesi-INFO'!$R:$R,'rehu-vesi-INFO'!$A:$A,'tuot-PVÄ'!B646)</f>
        <v>1746</v>
      </c>
      <c r="AC646" s="224">
        <f>SUMIFS('rehu-vesi-INFO'!$S:$S,'rehu-vesi-INFO'!$A:$A,'tuot-PVÄ'!B646)</f>
        <v>1853</v>
      </c>
      <c r="AD646" s="224">
        <f t="shared" si="184"/>
        <v>107</v>
      </c>
      <c r="AE646" s="224">
        <f t="shared" si="185"/>
        <v>0</v>
      </c>
      <c r="AF646" s="224">
        <f t="shared" si="186"/>
        <v>174.6</v>
      </c>
      <c r="AG646" s="224">
        <f t="shared" si="187"/>
        <v>10.7</v>
      </c>
      <c r="AH646" s="257">
        <f t="shared" ref="AH646:AH709" si="189">IFERROR(AVERAGE(L644:L646),)</f>
        <v>0</v>
      </c>
      <c r="AI646" s="258">
        <f t="shared" ref="AI646:AI709" si="190">AVERAGE(Q645+R645,Q646+R646,Q644+R644)</f>
        <v>0</v>
      </c>
      <c r="AJ646" s="55">
        <f>SUMIFS('tuot-INFO'!W:W,'tuot-INFO'!$A:$A,'tuot-PVÄ'!B646)</f>
        <v>0</v>
      </c>
      <c r="AK646" s="55">
        <f>SUMIFS('tuot-INFO'!X:X,'tuot-INFO'!$A:$A,'tuot-PVÄ'!B646)</f>
        <v>0</v>
      </c>
    </row>
    <row r="647" spans="1:37" x14ac:dyDescent="0.25">
      <c r="A647" s="169">
        <f t="shared" si="188"/>
        <v>43133</v>
      </c>
      <c r="B647" s="23">
        <f>ROUNDUP((A647-Yleistiedot!$B$4)/7,0)</f>
        <v>109</v>
      </c>
      <c r="C647" s="16"/>
      <c r="D647" s="25"/>
      <c r="E647" s="25"/>
      <c r="F647" s="25"/>
      <c r="G647" s="25"/>
      <c r="H647" s="25"/>
      <c r="I647" s="65">
        <f t="shared" si="183"/>
        <v>0</v>
      </c>
      <c r="J647" s="26"/>
      <c r="K647" s="25"/>
      <c r="L647" s="16"/>
      <c r="M647" s="16"/>
      <c r="N647" s="25"/>
      <c r="O647" s="30"/>
      <c r="P647" s="252">
        <f t="shared" si="178"/>
        <v>9990</v>
      </c>
      <c r="Q647" s="253">
        <f t="shared" si="179"/>
        <v>0</v>
      </c>
      <c r="R647" s="253">
        <f t="shared" si="180"/>
        <v>0</v>
      </c>
      <c r="S647" s="251">
        <f>SUMIFS('tuot-rehukirjanpito'!D:D,'tuot-rehukirjanpito'!A:A,A647)</f>
        <v>0</v>
      </c>
      <c r="T647" s="254">
        <f t="shared" si="174"/>
        <v>1098.9000000000001</v>
      </c>
      <c r="U647" s="254">
        <f t="shared" si="175"/>
        <v>1098.8999999999999</v>
      </c>
      <c r="V647" s="252">
        <f t="shared" si="176"/>
        <v>-708790.5000000085</v>
      </c>
      <c r="W647" s="255">
        <f t="shared" si="177"/>
        <v>-645.00000000000773</v>
      </c>
      <c r="X647" s="256" t="str">
        <f t="shared" si="181"/>
        <v/>
      </c>
      <c r="Y647" s="256" t="str">
        <f t="shared" si="182"/>
        <v/>
      </c>
      <c r="Z647" s="224" t="str">
        <f>IF(IFERROR(INDEX('tuot-rehukirjanpito'!I:I,MATCH(A647,'tuot-rehukirjanpito'!G:G,0)),)=0,"",INDEX('tuot-rehukirjanpito'!I:I,MATCH(A647,'tuot-rehukirjanpito'!G:G,0)))</f>
        <v/>
      </c>
      <c r="AA647" s="224">
        <f>SUMIFS('tuot-INFO'!$K$10:$K$115,'tuot-INFO'!$A$10:$A$115,'tuot-PVÄ'!B647)</f>
        <v>0</v>
      </c>
      <c r="AB647" s="224">
        <f>SUMIFS('rehu-vesi-INFO'!$R:$R,'rehu-vesi-INFO'!$A:$A,'tuot-PVÄ'!B647)</f>
        <v>1746</v>
      </c>
      <c r="AC647" s="224">
        <f>SUMIFS('rehu-vesi-INFO'!$S:$S,'rehu-vesi-INFO'!$A:$A,'tuot-PVÄ'!B647)</f>
        <v>1853</v>
      </c>
      <c r="AD647" s="224">
        <f t="shared" si="184"/>
        <v>107</v>
      </c>
      <c r="AE647" s="224">
        <f t="shared" si="185"/>
        <v>0</v>
      </c>
      <c r="AF647" s="224">
        <f t="shared" si="186"/>
        <v>174.6</v>
      </c>
      <c r="AG647" s="224">
        <f t="shared" si="187"/>
        <v>10.7</v>
      </c>
      <c r="AH647" s="257">
        <f t="shared" si="189"/>
        <v>0</v>
      </c>
      <c r="AI647" s="258">
        <f t="shared" si="190"/>
        <v>0</v>
      </c>
      <c r="AJ647" s="55">
        <f>SUMIFS('tuot-INFO'!W:W,'tuot-INFO'!$A:$A,'tuot-PVÄ'!B647)</f>
        <v>0</v>
      </c>
      <c r="AK647" s="55">
        <f>SUMIFS('tuot-INFO'!X:X,'tuot-INFO'!$A:$A,'tuot-PVÄ'!B647)</f>
        <v>0</v>
      </c>
    </row>
    <row r="648" spans="1:37" x14ac:dyDescent="0.25">
      <c r="A648" s="169">
        <f t="shared" si="188"/>
        <v>43134</v>
      </c>
      <c r="B648" s="23">
        <f>ROUNDUP((A648-Yleistiedot!$B$4)/7,0)</f>
        <v>110</v>
      </c>
      <c r="C648" s="16"/>
      <c r="D648" s="25"/>
      <c r="E648" s="25"/>
      <c r="F648" s="25"/>
      <c r="G648" s="25"/>
      <c r="H648" s="25"/>
      <c r="I648" s="65">
        <f t="shared" si="183"/>
        <v>0</v>
      </c>
      <c r="J648" s="26"/>
      <c r="K648" s="25"/>
      <c r="L648" s="16"/>
      <c r="M648" s="16"/>
      <c r="N648" s="25"/>
      <c r="O648" s="30"/>
      <c r="P648" s="252">
        <f t="shared" si="178"/>
        <v>9990</v>
      </c>
      <c r="Q648" s="253">
        <f t="shared" si="179"/>
        <v>0</v>
      </c>
      <c r="R648" s="253">
        <f t="shared" si="180"/>
        <v>0</v>
      </c>
      <c r="S648" s="251">
        <f>SUMIFS('tuot-rehukirjanpito'!D:D,'tuot-rehukirjanpito'!A:A,A648)</f>
        <v>0</v>
      </c>
      <c r="T648" s="254">
        <f t="shared" ref="T648:T711" si="191">IF(L648&gt;0,P648*L648/1000,T647)</f>
        <v>1098.9000000000001</v>
      </c>
      <c r="U648" s="254">
        <f t="shared" ref="U648:U711" si="192">IFERROR(AVERAGEIF(T642:T648,"&lt;&gt;0"),0)</f>
        <v>1098.8999999999999</v>
      </c>
      <c r="V648" s="252">
        <f t="shared" ref="V648:V711" si="193">V647+S648-T648</f>
        <v>-709889.40000000852</v>
      </c>
      <c r="W648" s="255">
        <f t="shared" ref="W648:W711" si="194">IFERROR(V648/T648,"")</f>
        <v>-646.00000000000773</v>
      </c>
      <c r="X648" s="256" t="str">
        <f t="shared" si="181"/>
        <v/>
      </c>
      <c r="Y648" s="256" t="str">
        <f t="shared" si="182"/>
        <v/>
      </c>
      <c r="Z648" s="224" t="str">
        <f>IF(IFERROR(INDEX('tuot-rehukirjanpito'!I:I,MATCH(A648,'tuot-rehukirjanpito'!G:G,0)),)=0,"",INDEX('tuot-rehukirjanpito'!I:I,MATCH(A648,'tuot-rehukirjanpito'!G:G,0)))</f>
        <v/>
      </c>
      <c r="AA648" s="224">
        <f>SUMIFS('tuot-INFO'!$K$10:$K$115,'tuot-INFO'!$A$10:$A$115,'tuot-PVÄ'!B648)</f>
        <v>0</v>
      </c>
      <c r="AB648" s="224">
        <f>SUMIFS('rehu-vesi-INFO'!$R:$R,'rehu-vesi-INFO'!$A:$A,'tuot-PVÄ'!B648)</f>
        <v>1746</v>
      </c>
      <c r="AC648" s="224">
        <f>SUMIFS('rehu-vesi-INFO'!$S:$S,'rehu-vesi-INFO'!$A:$A,'tuot-PVÄ'!B648)</f>
        <v>1853</v>
      </c>
      <c r="AD648" s="224">
        <f t="shared" si="184"/>
        <v>107</v>
      </c>
      <c r="AE648" s="224">
        <f t="shared" si="185"/>
        <v>0</v>
      </c>
      <c r="AF648" s="224">
        <f t="shared" si="186"/>
        <v>174.6</v>
      </c>
      <c r="AG648" s="224">
        <f t="shared" si="187"/>
        <v>10.7</v>
      </c>
      <c r="AH648" s="257">
        <f t="shared" si="189"/>
        <v>0</v>
      </c>
      <c r="AI648" s="258">
        <f t="shared" si="190"/>
        <v>0</v>
      </c>
      <c r="AJ648" s="55">
        <f>SUMIFS('tuot-INFO'!W:W,'tuot-INFO'!$A:$A,'tuot-PVÄ'!B648)</f>
        <v>0</v>
      </c>
      <c r="AK648" s="55">
        <f>SUMIFS('tuot-INFO'!X:X,'tuot-INFO'!$A:$A,'tuot-PVÄ'!B648)</f>
        <v>0</v>
      </c>
    </row>
    <row r="649" spans="1:37" x14ac:dyDescent="0.25">
      <c r="A649" s="169">
        <f t="shared" si="188"/>
        <v>43135</v>
      </c>
      <c r="B649" s="23">
        <f>ROUNDUP((A649-Yleistiedot!$B$4)/7,0)</f>
        <v>110</v>
      </c>
      <c r="C649" s="16"/>
      <c r="D649" s="25"/>
      <c r="E649" s="25"/>
      <c r="F649" s="25"/>
      <c r="G649" s="25"/>
      <c r="H649" s="25"/>
      <c r="I649" s="65">
        <f t="shared" si="183"/>
        <v>0</v>
      </c>
      <c r="J649" s="26"/>
      <c r="K649" s="25"/>
      <c r="L649" s="16"/>
      <c r="M649" s="16"/>
      <c r="N649" s="25"/>
      <c r="O649" s="30"/>
      <c r="P649" s="252">
        <f t="shared" si="178"/>
        <v>9990</v>
      </c>
      <c r="Q649" s="253">
        <f t="shared" si="179"/>
        <v>0</v>
      </c>
      <c r="R649" s="253">
        <f t="shared" si="180"/>
        <v>0</v>
      </c>
      <c r="S649" s="251">
        <f>SUMIFS('tuot-rehukirjanpito'!D:D,'tuot-rehukirjanpito'!A:A,A649)</f>
        <v>0</v>
      </c>
      <c r="T649" s="254">
        <f t="shared" si="191"/>
        <v>1098.9000000000001</v>
      </c>
      <c r="U649" s="254">
        <f t="shared" si="192"/>
        <v>1098.8999999999999</v>
      </c>
      <c r="V649" s="252">
        <f t="shared" si="193"/>
        <v>-710988.30000000854</v>
      </c>
      <c r="W649" s="255">
        <f t="shared" si="194"/>
        <v>-647.00000000000773</v>
      </c>
      <c r="X649" s="256" t="str">
        <f t="shared" si="181"/>
        <v/>
      </c>
      <c r="Y649" s="256" t="str">
        <f t="shared" si="182"/>
        <v/>
      </c>
      <c r="Z649" s="224" t="str">
        <f>IF(IFERROR(INDEX('tuot-rehukirjanpito'!I:I,MATCH(A649,'tuot-rehukirjanpito'!G:G,0)),)=0,"",INDEX('tuot-rehukirjanpito'!I:I,MATCH(A649,'tuot-rehukirjanpito'!G:G,0)))</f>
        <v/>
      </c>
      <c r="AA649" s="224">
        <f>SUMIFS('tuot-INFO'!$K$10:$K$115,'tuot-INFO'!$A$10:$A$115,'tuot-PVÄ'!B649)</f>
        <v>0</v>
      </c>
      <c r="AB649" s="224">
        <f>SUMIFS('rehu-vesi-INFO'!$R:$R,'rehu-vesi-INFO'!$A:$A,'tuot-PVÄ'!B649)</f>
        <v>1746</v>
      </c>
      <c r="AC649" s="224">
        <f>SUMIFS('rehu-vesi-INFO'!$S:$S,'rehu-vesi-INFO'!$A:$A,'tuot-PVÄ'!B649)</f>
        <v>1853</v>
      </c>
      <c r="AD649" s="224">
        <f t="shared" si="184"/>
        <v>107</v>
      </c>
      <c r="AE649" s="224">
        <f t="shared" si="185"/>
        <v>0</v>
      </c>
      <c r="AF649" s="224">
        <f t="shared" si="186"/>
        <v>174.6</v>
      </c>
      <c r="AG649" s="224">
        <f t="shared" si="187"/>
        <v>10.7</v>
      </c>
      <c r="AH649" s="257">
        <f t="shared" si="189"/>
        <v>0</v>
      </c>
      <c r="AI649" s="258">
        <f t="shared" si="190"/>
        <v>0</v>
      </c>
      <c r="AJ649" s="55">
        <f>SUMIFS('tuot-INFO'!W:W,'tuot-INFO'!$A:$A,'tuot-PVÄ'!B649)</f>
        <v>0</v>
      </c>
      <c r="AK649" s="55">
        <f>SUMIFS('tuot-INFO'!X:X,'tuot-INFO'!$A:$A,'tuot-PVÄ'!B649)</f>
        <v>0</v>
      </c>
    </row>
    <row r="650" spans="1:37" x14ac:dyDescent="0.25">
      <c r="A650" s="169">
        <f t="shared" si="188"/>
        <v>43136</v>
      </c>
      <c r="B650" s="23">
        <f>ROUNDUP((A650-Yleistiedot!$B$4)/7,0)</f>
        <v>110</v>
      </c>
      <c r="C650" s="16"/>
      <c r="D650" s="25"/>
      <c r="E650" s="25"/>
      <c r="F650" s="25"/>
      <c r="G650" s="25"/>
      <c r="H650" s="25"/>
      <c r="I650" s="65">
        <f t="shared" si="183"/>
        <v>0</v>
      </c>
      <c r="J650" s="26"/>
      <c r="K650" s="25"/>
      <c r="L650" s="16"/>
      <c r="M650" s="16"/>
      <c r="N650" s="25"/>
      <c r="O650" s="30"/>
      <c r="P650" s="252">
        <f t="shared" si="178"/>
        <v>9990</v>
      </c>
      <c r="Q650" s="253">
        <f t="shared" si="179"/>
        <v>0</v>
      </c>
      <c r="R650" s="253">
        <f t="shared" si="180"/>
        <v>0</v>
      </c>
      <c r="S650" s="251">
        <f>SUMIFS('tuot-rehukirjanpito'!D:D,'tuot-rehukirjanpito'!A:A,A650)</f>
        <v>0</v>
      </c>
      <c r="T650" s="254">
        <f t="shared" si="191"/>
        <v>1098.9000000000001</v>
      </c>
      <c r="U650" s="254">
        <f t="shared" si="192"/>
        <v>1098.8999999999999</v>
      </c>
      <c r="V650" s="252">
        <f t="shared" si="193"/>
        <v>-712087.20000000857</v>
      </c>
      <c r="W650" s="255">
        <f t="shared" si="194"/>
        <v>-648.00000000000773</v>
      </c>
      <c r="X650" s="256" t="str">
        <f t="shared" si="181"/>
        <v/>
      </c>
      <c r="Y650" s="256" t="str">
        <f t="shared" si="182"/>
        <v/>
      </c>
      <c r="Z650" s="224" t="str">
        <f>IF(IFERROR(INDEX('tuot-rehukirjanpito'!I:I,MATCH(A650,'tuot-rehukirjanpito'!G:G,0)),)=0,"",INDEX('tuot-rehukirjanpito'!I:I,MATCH(A650,'tuot-rehukirjanpito'!G:G,0)))</f>
        <v/>
      </c>
      <c r="AA650" s="224">
        <f>SUMIFS('tuot-INFO'!$K$10:$K$115,'tuot-INFO'!$A$10:$A$115,'tuot-PVÄ'!B650)</f>
        <v>0</v>
      </c>
      <c r="AB650" s="224">
        <f>SUMIFS('rehu-vesi-INFO'!$R:$R,'rehu-vesi-INFO'!$A:$A,'tuot-PVÄ'!B650)</f>
        <v>1746</v>
      </c>
      <c r="AC650" s="224">
        <f>SUMIFS('rehu-vesi-INFO'!$S:$S,'rehu-vesi-INFO'!$A:$A,'tuot-PVÄ'!B650)</f>
        <v>1853</v>
      </c>
      <c r="AD650" s="224">
        <f t="shared" si="184"/>
        <v>107</v>
      </c>
      <c r="AE650" s="224">
        <f t="shared" si="185"/>
        <v>0</v>
      </c>
      <c r="AF650" s="224">
        <f t="shared" si="186"/>
        <v>174.6</v>
      </c>
      <c r="AG650" s="224">
        <f t="shared" si="187"/>
        <v>10.7</v>
      </c>
      <c r="AH650" s="257">
        <f t="shared" si="189"/>
        <v>0</v>
      </c>
      <c r="AI650" s="258">
        <f t="shared" si="190"/>
        <v>0</v>
      </c>
      <c r="AJ650" s="55">
        <f>SUMIFS('tuot-INFO'!W:W,'tuot-INFO'!$A:$A,'tuot-PVÄ'!B650)</f>
        <v>0</v>
      </c>
      <c r="AK650" s="55">
        <f>SUMIFS('tuot-INFO'!X:X,'tuot-INFO'!$A:$A,'tuot-PVÄ'!B650)</f>
        <v>0</v>
      </c>
    </row>
    <row r="651" spans="1:37" x14ac:dyDescent="0.25">
      <c r="A651" s="169">
        <f t="shared" si="188"/>
        <v>43137</v>
      </c>
      <c r="B651" s="23">
        <f>ROUNDUP((A651-Yleistiedot!$B$4)/7,0)</f>
        <v>110</v>
      </c>
      <c r="C651" s="16"/>
      <c r="D651" s="25"/>
      <c r="E651" s="25"/>
      <c r="F651" s="25"/>
      <c r="G651" s="25"/>
      <c r="H651" s="25"/>
      <c r="I651" s="65">
        <f t="shared" si="183"/>
        <v>0</v>
      </c>
      <c r="J651" s="26"/>
      <c r="K651" s="25"/>
      <c r="L651" s="16"/>
      <c r="M651" s="16"/>
      <c r="N651" s="25"/>
      <c r="O651" s="30"/>
      <c r="P651" s="252">
        <f t="shared" si="178"/>
        <v>9990</v>
      </c>
      <c r="Q651" s="253">
        <f t="shared" si="179"/>
        <v>0</v>
      </c>
      <c r="R651" s="253">
        <f t="shared" si="180"/>
        <v>0</v>
      </c>
      <c r="S651" s="251">
        <f>SUMIFS('tuot-rehukirjanpito'!D:D,'tuot-rehukirjanpito'!A:A,A651)</f>
        <v>0</v>
      </c>
      <c r="T651" s="254">
        <f t="shared" si="191"/>
        <v>1098.9000000000001</v>
      </c>
      <c r="U651" s="254">
        <f t="shared" si="192"/>
        <v>1098.8999999999999</v>
      </c>
      <c r="V651" s="252">
        <f t="shared" si="193"/>
        <v>-713186.10000000859</v>
      </c>
      <c r="W651" s="255">
        <f t="shared" si="194"/>
        <v>-649.00000000000773</v>
      </c>
      <c r="X651" s="256" t="str">
        <f t="shared" si="181"/>
        <v/>
      </c>
      <c r="Y651" s="256" t="str">
        <f t="shared" si="182"/>
        <v/>
      </c>
      <c r="Z651" s="224" t="str">
        <f>IF(IFERROR(INDEX('tuot-rehukirjanpito'!I:I,MATCH(A651,'tuot-rehukirjanpito'!G:G,0)),)=0,"",INDEX('tuot-rehukirjanpito'!I:I,MATCH(A651,'tuot-rehukirjanpito'!G:G,0)))</f>
        <v/>
      </c>
      <c r="AA651" s="224">
        <f>SUMIFS('tuot-INFO'!$K$10:$K$115,'tuot-INFO'!$A$10:$A$115,'tuot-PVÄ'!B651)</f>
        <v>0</v>
      </c>
      <c r="AB651" s="224">
        <f>SUMIFS('rehu-vesi-INFO'!$R:$R,'rehu-vesi-INFO'!$A:$A,'tuot-PVÄ'!B651)</f>
        <v>1746</v>
      </c>
      <c r="AC651" s="224">
        <f>SUMIFS('rehu-vesi-INFO'!$S:$S,'rehu-vesi-INFO'!$A:$A,'tuot-PVÄ'!B651)</f>
        <v>1853</v>
      </c>
      <c r="AD651" s="224">
        <f t="shared" si="184"/>
        <v>107</v>
      </c>
      <c r="AE651" s="224">
        <f t="shared" si="185"/>
        <v>0</v>
      </c>
      <c r="AF651" s="224">
        <f t="shared" si="186"/>
        <v>174.6</v>
      </c>
      <c r="AG651" s="224">
        <f t="shared" si="187"/>
        <v>10.7</v>
      </c>
      <c r="AH651" s="257">
        <f t="shared" si="189"/>
        <v>0</v>
      </c>
      <c r="AI651" s="258">
        <f t="shared" si="190"/>
        <v>0</v>
      </c>
      <c r="AJ651" s="55">
        <f>SUMIFS('tuot-INFO'!W:W,'tuot-INFO'!$A:$A,'tuot-PVÄ'!B651)</f>
        <v>0</v>
      </c>
      <c r="AK651" s="55">
        <f>SUMIFS('tuot-INFO'!X:X,'tuot-INFO'!$A:$A,'tuot-PVÄ'!B651)</f>
        <v>0</v>
      </c>
    </row>
    <row r="652" spans="1:37" x14ac:dyDescent="0.25">
      <c r="A652" s="169">
        <f t="shared" si="188"/>
        <v>43138</v>
      </c>
      <c r="B652" s="23">
        <f>ROUNDUP((A652-Yleistiedot!$B$4)/7,0)</f>
        <v>110</v>
      </c>
      <c r="C652" s="16"/>
      <c r="D652" s="25"/>
      <c r="E652" s="25"/>
      <c r="F652" s="25"/>
      <c r="G652" s="25"/>
      <c r="H652" s="25"/>
      <c r="I652" s="65">
        <f t="shared" si="183"/>
        <v>0</v>
      </c>
      <c r="J652" s="26"/>
      <c r="K652" s="25"/>
      <c r="L652" s="16"/>
      <c r="M652" s="16"/>
      <c r="N652" s="25"/>
      <c r="O652" s="30"/>
      <c r="P652" s="252">
        <f t="shared" si="178"/>
        <v>9990</v>
      </c>
      <c r="Q652" s="253">
        <f t="shared" si="179"/>
        <v>0</v>
      </c>
      <c r="R652" s="253">
        <f t="shared" si="180"/>
        <v>0</v>
      </c>
      <c r="S652" s="251">
        <f>SUMIFS('tuot-rehukirjanpito'!D:D,'tuot-rehukirjanpito'!A:A,A652)</f>
        <v>0</v>
      </c>
      <c r="T652" s="254">
        <f t="shared" si="191"/>
        <v>1098.9000000000001</v>
      </c>
      <c r="U652" s="254">
        <f t="shared" si="192"/>
        <v>1098.8999999999999</v>
      </c>
      <c r="V652" s="252">
        <f t="shared" si="193"/>
        <v>-714285.00000000861</v>
      </c>
      <c r="W652" s="255">
        <f t="shared" si="194"/>
        <v>-650.00000000000773</v>
      </c>
      <c r="X652" s="256" t="str">
        <f t="shared" si="181"/>
        <v/>
      </c>
      <c r="Y652" s="256" t="str">
        <f t="shared" si="182"/>
        <v/>
      </c>
      <c r="Z652" s="224" t="str">
        <f>IF(IFERROR(INDEX('tuot-rehukirjanpito'!I:I,MATCH(A652,'tuot-rehukirjanpito'!G:G,0)),)=0,"",INDEX('tuot-rehukirjanpito'!I:I,MATCH(A652,'tuot-rehukirjanpito'!G:G,0)))</f>
        <v/>
      </c>
      <c r="AA652" s="224">
        <f>SUMIFS('tuot-INFO'!$K$10:$K$115,'tuot-INFO'!$A$10:$A$115,'tuot-PVÄ'!B652)</f>
        <v>0</v>
      </c>
      <c r="AB652" s="224">
        <f>SUMIFS('rehu-vesi-INFO'!$R:$R,'rehu-vesi-INFO'!$A:$A,'tuot-PVÄ'!B652)</f>
        <v>1746</v>
      </c>
      <c r="AC652" s="224">
        <f>SUMIFS('rehu-vesi-INFO'!$S:$S,'rehu-vesi-INFO'!$A:$A,'tuot-PVÄ'!B652)</f>
        <v>1853</v>
      </c>
      <c r="AD652" s="224">
        <f t="shared" si="184"/>
        <v>107</v>
      </c>
      <c r="AE652" s="224">
        <f t="shared" si="185"/>
        <v>0</v>
      </c>
      <c r="AF652" s="224">
        <f t="shared" si="186"/>
        <v>174.6</v>
      </c>
      <c r="AG652" s="224">
        <f t="shared" si="187"/>
        <v>10.7</v>
      </c>
      <c r="AH652" s="257">
        <f t="shared" si="189"/>
        <v>0</v>
      </c>
      <c r="AI652" s="258">
        <f t="shared" si="190"/>
        <v>0</v>
      </c>
      <c r="AJ652" s="55">
        <f>SUMIFS('tuot-INFO'!W:W,'tuot-INFO'!$A:$A,'tuot-PVÄ'!B652)</f>
        <v>0</v>
      </c>
      <c r="AK652" s="55">
        <f>SUMIFS('tuot-INFO'!X:X,'tuot-INFO'!$A:$A,'tuot-PVÄ'!B652)</f>
        <v>0</v>
      </c>
    </row>
    <row r="653" spans="1:37" x14ac:dyDescent="0.25">
      <c r="A653" s="169">
        <f t="shared" si="188"/>
        <v>43139</v>
      </c>
      <c r="B653" s="23">
        <f>ROUNDUP((A653-Yleistiedot!$B$4)/7,0)</f>
        <v>110</v>
      </c>
      <c r="C653" s="16"/>
      <c r="D653" s="25"/>
      <c r="E653" s="25"/>
      <c r="F653" s="25"/>
      <c r="G653" s="25"/>
      <c r="H653" s="25"/>
      <c r="I653" s="65">
        <f t="shared" si="183"/>
        <v>0</v>
      </c>
      <c r="J653" s="26"/>
      <c r="K653" s="25"/>
      <c r="L653" s="16"/>
      <c r="M653" s="16"/>
      <c r="N653" s="25"/>
      <c r="O653" s="30"/>
      <c r="P653" s="252">
        <f t="shared" si="178"/>
        <v>9990</v>
      </c>
      <c r="Q653" s="253">
        <f t="shared" si="179"/>
        <v>0</v>
      </c>
      <c r="R653" s="253">
        <f t="shared" si="180"/>
        <v>0</v>
      </c>
      <c r="S653" s="251">
        <f>SUMIFS('tuot-rehukirjanpito'!D:D,'tuot-rehukirjanpito'!A:A,A653)</f>
        <v>0</v>
      </c>
      <c r="T653" s="254">
        <f t="shared" si="191"/>
        <v>1098.9000000000001</v>
      </c>
      <c r="U653" s="254">
        <f t="shared" si="192"/>
        <v>1098.8999999999999</v>
      </c>
      <c r="V653" s="252">
        <f t="shared" si="193"/>
        <v>-715383.90000000864</v>
      </c>
      <c r="W653" s="255">
        <f t="shared" si="194"/>
        <v>-651.00000000000784</v>
      </c>
      <c r="X653" s="256" t="str">
        <f t="shared" si="181"/>
        <v/>
      </c>
      <c r="Y653" s="256" t="str">
        <f t="shared" si="182"/>
        <v/>
      </c>
      <c r="Z653" s="224" t="str">
        <f>IF(IFERROR(INDEX('tuot-rehukirjanpito'!I:I,MATCH(A653,'tuot-rehukirjanpito'!G:G,0)),)=0,"",INDEX('tuot-rehukirjanpito'!I:I,MATCH(A653,'tuot-rehukirjanpito'!G:G,0)))</f>
        <v/>
      </c>
      <c r="AA653" s="224">
        <f>SUMIFS('tuot-INFO'!$K$10:$K$115,'tuot-INFO'!$A$10:$A$115,'tuot-PVÄ'!B653)</f>
        <v>0</v>
      </c>
      <c r="AB653" s="224">
        <f>SUMIFS('rehu-vesi-INFO'!$R:$R,'rehu-vesi-INFO'!$A:$A,'tuot-PVÄ'!B653)</f>
        <v>1746</v>
      </c>
      <c r="AC653" s="224">
        <f>SUMIFS('rehu-vesi-INFO'!$S:$S,'rehu-vesi-INFO'!$A:$A,'tuot-PVÄ'!B653)</f>
        <v>1853</v>
      </c>
      <c r="AD653" s="224">
        <f t="shared" si="184"/>
        <v>107</v>
      </c>
      <c r="AE653" s="224">
        <f t="shared" si="185"/>
        <v>0</v>
      </c>
      <c r="AF653" s="224">
        <f t="shared" si="186"/>
        <v>174.6</v>
      </c>
      <c r="AG653" s="224">
        <f t="shared" si="187"/>
        <v>10.7</v>
      </c>
      <c r="AH653" s="257">
        <f t="shared" si="189"/>
        <v>0</v>
      </c>
      <c r="AI653" s="258">
        <f t="shared" si="190"/>
        <v>0</v>
      </c>
      <c r="AJ653" s="55">
        <f>SUMIFS('tuot-INFO'!W:W,'tuot-INFO'!$A:$A,'tuot-PVÄ'!B653)</f>
        <v>0</v>
      </c>
      <c r="AK653" s="55">
        <f>SUMIFS('tuot-INFO'!X:X,'tuot-INFO'!$A:$A,'tuot-PVÄ'!B653)</f>
        <v>0</v>
      </c>
    </row>
    <row r="654" spans="1:37" x14ac:dyDescent="0.25">
      <c r="A654" s="169">
        <f t="shared" si="188"/>
        <v>43140</v>
      </c>
      <c r="B654" s="23">
        <f>ROUNDUP((A654-Yleistiedot!$B$4)/7,0)</f>
        <v>110</v>
      </c>
      <c r="C654" s="16"/>
      <c r="D654" s="25"/>
      <c r="E654" s="25"/>
      <c r="F654" s="25"/>
      <c r="G654" s="25"/>
      <c r="H654" s="25"/>
      <c r="I654" s="65">
        <f t="shared" si="183"/>
        <v>0</v>
      </c>
      <c r="J654" s="26"/>
      <c r="K654" s="25"/>
      <c r="L654" s="16"/>
      <c r="M654" s="16"/>
      <c r="N654" s="25"/>
      <c r="O654" s="30"/>
      <c r="P654" s="252">
        <f t="shared" si="178"/>
        <v>9990</v>
      </c>
      <c r="Q654" s="253">
        <f t="shared" si="179"/>
        <v>0</v>
      </c>
      <c r="R654" s="253">
        <f t="shared" si="180"/>
        <v>0</v>
      </c>
      <c r="S654" s="251">
        <f>SUMIFS('tuot-rehukirjanpito'!D:D,'tuot-rehukirjanpito'!A:A,A654)</f>
        <v>0</v>
      </c>
      <c r="T654" s="254">
        <f t="shared" si="191"/>
        <v>1098.9000000000001</v>
      </c>
      <c r="U654" s="254">
        <f t="shared" si="192"/>
        <v>1098.8999999999999</v>
      </c>
      <c r="V654" s="252">
        <f t="shared" si="193"/>
        <v>-716482.80000000866</v>
      </c>
      <c r="W654" s="255">
        <f t="shared" si="194"/>
        <v>-652.00000000000784</v>
      </c>
      <c r="X654" s="256" t="str">
        <f t="shared" si="181"/>
        <v/>
      </c>
      <c r="Y654" s="256" t="str">
        <f t="shared" si="182"/>
        <v/>
      </c>
      <c r="Z654" s="224" t="str">
        <f>IF(IFERROR(INDEX('tuot-rehukirjanpito'!I:I,MATCH(A654,'tuot-rehukirjanpito'!G:G,0)),)=0,"",INDEX('tuot-rehukirjanpito'!I:I,MATCH(A654,'tuot-rehukirjanpito'!G:G,0)))</f>
        <v/>
      </c>
      <c r="AA654" s="224">
        <f>SUMIFS('tuot-INFO'!$K$10:$K$115,'tuot-INFO'!$A$10:$A$115,'tuot-PVÄ'!B654)</f>
        <v>0</v>
      </c>
      <c r="AB654" s="224">
        <f>SUMIFS('rehu-vesi-INFO'!$R:$R,'rehu-vesi-INFO'!$A:$A,'tuot-PVÄ'!B654)</f>
        <v>1746</v>
      </c>
      <c r="AC654" s="224">
        <f>SUMIFS('rehu-vesi-INFO'!$S:$S,'rehu-vesi-INFO'!$A:$A,'tuot-PVÄ'!B654)</f>
        <v>1853</v>
      </c>
      <c r="AD654" s="224">
        <f t="shared" si="184"/>
        <v>107</v>
      </c>
      <c r="AE654" s="224">
        <f t="shared" si="185"/>
        <v>0</v>
      </c>
      <c r="AF654" s="224">
        <f t="shared" si="186"/>
        <v>174.6</v>
      </c>
      <c r="AG654" s="224">
        <f t="shared" si="187"/>
        <v>10.7</v>
      </c>
      <c r="AH654" s="257">
        <f t="shared" si="189"/>
        <v>0</v>
      </c>
      <c r="AI654" s="258">
        <f t="shared" si="190"/>
        <v>0</v>
      </c>
      <c r="AJ654" s="55">
        <f>SUMIFS('tuot-INFO'!W:W,'tuot-INFO'!$A:$A,'tuot-PVÄ'!B654)</f>
        <v>0</v>
      </c>
      <c r="AK654" s="55">
        <f>SUMIFS('tuot-INFO'!X:X,'tuot-INFO'!$A:$A,'tuot-PVÄ'!B654)</f>
        <v>0</v>
      </c>
    </row>
    <row r="655" spans="1:37" x14ac:dyDescent="0.25">
      <c r="A655" s="169">
        <f t="shared" si="188"/>
        <v>43141</v>
      </c>
      <c r="B655" s="23">
        <f>ROUNDUP((A655-Yleistiedot!$B$4)/7,0)</f>
        <v>111</v>
      </c>
      <c r="C655" s="16"/>
      <c r="D655" s="25"/>
      <c r="E655" s="25"/>
      <c r="F655" s="25"/>
      <c r="G655" s="25"/>
      <c r="H655" s="25"/>
      <c r="I655" s="65">
        <f t="shared" si="183"/>
        <v>0</v>
      </c>
      <c r="J655" s="26"/>
      <c r="K655" s="25"/>
      <c r="L655" s="16"/>
      <c r="M655" s="16"/>
      <c r="N655" s="25"/>
      <c r="O655" s="30"/>
      <c r="P655" s="252">
        <f t="shared" si="178"/>
        <v>9990</v>
      </c>
      <c r="Q655" s="253">
        <f t="shared" si="179"/>
        <v>0</v>
      </c>
      <c r="R655" s="253">
        <f t="shared" si="180"/>
        <v>0</v>
      </c>
      <c r="S655" s="251">
        <f>SUMIFS('tuot-rehukirjanpito'!D:D,'tuot-rehukirjanpito'!A:A,A655)</f>
        <v>0</v>
      </c>
      <c r="T655" s="254">
        <f t="shared" si="191"/>
        <v>1098.9000000000001</v>
      </c>
      <c r="U655" s="254">
        <f t="shared" si="192"/>
        <v>1098.8999999999999</v>
      </c>
      <c r="V655" s="252">
        <f t="shared" si="193"/>
        <v>-717581.70000000868</v>
      </c>
      <c r="W655" s="255">
        <f t="shared" si="194"/>
        <v>-653.00000000000784</v>
      </c>
      <c r="X655" s="256" t="str">
        <f t="shared" si="181"/>
        <v/>
      </c>
      <c r="Y655" s="256" t="str">
        <f t="shared" si="182"/>
        <v/>
      </c>
      <c r="Z655" s="224" t="str">
        <f>IF(IFERROR(INDEX('tuot-rehukirjanpito'!I:I,MATCH(A655,'tuot-rehukirjanpito'!G:G,0)),)=0,"",INDEX('tuot-rehukirjanpito'!I:I,MATCH(A655,'tuot-rehukirjanpito'!G:G,0)))</f>
        <v/>
      </c>
      <c r="AA655" s="224">
        <f>SUMIFS('tuot-INFO'!$K$10:$K$115,'tuot-INFO'!$A$10:$A$115,'tuot-PVÄ'!B655)</f>
        <v>0</v>
      </c>
      <c r="AB655" s="224">
        <f>SUMIFS('rehu-vesi-INFO'!$R:$R,'rehu-vesi-INFO'!$A:$A,'tuot-PVÄ'!B655)</f>
        <v>1746</v>
      </c>
      <c r="AC655" s="224">
        <f>SUMIFS('rehu-vesi-INFO'!$S:$S,'rehu-vesi-INFO'!$A:$A,'tuot-PVÄ'!B655)</f>
        <v>1853</v>
      </c>
      <c r="AD655" s="224">
        <f t="shared" si="184"/>
        <v>107</v>
      </c>
      <c r="AE655" s="224">
        <f t="shared" si="185"/>
        <v>0</v>
      </c>
      <c r="AF655" s="224">
        <f t="shared" si="186"/>
        <v>174.6</v>
      </c>
      <c r="AG655" s="224">
        <f t="shared" si="187"/>
        <v>10.7</v>
      </c>
      <c r="AH655" s="257">
        <f t="shared" si="189"/>
        <v>0</v>
      </c>
      <c r="AI655" s="258">
        <f t="shared" si="190"/>
        <v>0</v>
      </c>
      <c r="AJ655" s="55">
        <f>SUMIFS('tuot-INFO'!W:W,'tuot-INFO'!$A:$A,'tuot-PVÄ'!B655)</f>
        <v>0</v>
      </c>
      <c r="AK655" s="55">
        <f>SUMIFS('tuot-INFO'!X:X,'tuot-INFO'!$A:$A,'tuot-PVÄ'!B655)</f>
        <v>0</v>
      </c>
    </row>
    <row r="656" spans="1:37" x14ac:dyDescent="0.25">
      <c r="A656" s="169">
        <f t="shared" si="188"/>
        <v>43142</v>
      </c>
      <c r="B656" s="23">
        <f>ROUNDUP((A656-Yleistiedot!$B$4)/7,0)</f>
        <v>111</v>
      </c>
      <c r="C656" s="16"/>
      <c r="D656" s="25"/>
      <c r="E656" s="25"/>
      <c r="F656" s="25"/>
      <c r="G656" s="25"/>
      <c r="H656" s="25"/>
      <c r="I656" s="65">
        <f t="shared" si="183"/>
        <v>0</v>
      </c>
      <c r="J656" s="26"/>
      <c r="K656" s="25"/>
      <c r="L656" s="16"/>
      <c r="M656" s="16"/>
      <c r="N656" s="25"/>
      <c r="O656" s="30"/>
      <c r="P656" s="252">
        <f t="shared" si="178"/>
        <v>9990</v>
      </c>
      <c r="Q656" s="253">
        <f t="shared" si="179"/>
        <v>0</v>
      </c>
      <c r="R656" s="253">
        <f t="shared" si="180"/>
        <v>0</v>
      </c>
      <c r="S656" s="251">
        <f>SUMIFS('tuot-rehukirjanpito'!D:D,'tuot-rehukirjanpito'!A:A,A656)</f>
        <v>0</v>
      </c>
      <c r="T656" s="254">
        <f t="shared" si="191"/>
        <v>1098.9000000000001</v>
      </c>
      <c r="U656" s="254">
        <f t="shared" si="192"/>
        <v>1098.8999999999999</v>
      </c>
      <c r="V656" s="252">
        <f t="shared" si="193"/>
        <v>-718680.60000000871</v>
      </c>
      <c r="W656" s="255">
        <f t="shared" si="194"/>
        <v>-654.00000000000784</v>
      </c>
      <c r="X656" s="256" t="str">
        <f t="shared" si="181"/>
        <v/>
      </c>
      <c r="Y656" s="256" t="str">
        <f t="shared" si="182"/>
        <v/>
      </c>
      <c r="Z656" s="224" t="str">
        <f>IF(IFERROR(INDEX('tuot-rehukirjanpito'!I:I,MATCH(A656,'tuot-rehukirjanpito'!G:G,0)),)=0,"",INDEX('tuot-rehukirjanpito'!I:I,MATCH(A656,'tuot-rehukirjanpito'!G:G,0)))</f>
        <v/>
      </c>
      <c r="AA656" s="224">
        <f>SUMIFS('tuot-INFO'!$K$10:$K$115,'tuot-INFO'!$A$10:$A$115,'tuot-PVÄ'!B656)</f>
        <v>0</v>
      </c>
      <c r="AB656" s="224">
        <f>SUMIFS('rehu-vesi-INFO'!$R:$R,'rehu-vesi-INFO'!$A:$A,'tuot-PVÄ'!B656)</f>
        <v>1746</v>
      </c>
      <c r="AC656" s="224">
        <f>SUMIFS('rehu-vesi-INFO'!$S:$S,'rehu-vesi-INFO'!$A:$A,'tuot-PVÄ'!B656)</f>
        <v>1853</v>
      </c>
      <c r="AD656" s="224">
        <f t="shared" si="184"/>
        <v>107</v>
      </c>
      <c r="AE656" s="224">
        <f t="shared" si="185"/>
        <v>0</v>
      </c>
      <c r="AF656" s="224">
        <f t="shared" si="186"/>
        <v>174.6</v>
      </c>
      <c r="AG656" s="224">
        <f t="shared" si="187"/>
        <v>10.7</v>
      </c>
      <c r="AH656" s="257">
        <f t="shared" si="189"/>
        <v>0</v>
      </c>
      <c r="AI656" s="258">
        <f t="shared" si="190"/>
        <v>0</v>
      </c>
      <c r="AJ656" s="55">
        <f>SUMIFS('tuot-INFO'!W:W,'tuot-INFO'!$A:$A,'tuot-PVÄ'!B656)</f>
        <v>0</v>
      </c>
      <c r="AK656" s="55">
        <f>SUMIFS('tuot-INFO'!X:X,'tuot-INFO'!$A:$A,'tuot-PVÄ'!B656)</f>
        <v>0</v>
      </c>
    </row>
    <row r="657" spans="1:37" x14ac:dyDescent="0.25">
      <c r="A657" s="169">
        <f t="shared" si="188"/>
        <v>43143</v>
      </c>
      <c r="B657" s="23">
        <f>ROUNDUP((A657-Yleistiedot!$B$4)/7,0)</f>
        <v>111</v>
      </c>
      <c r="C657" s="16"/>
      <c r="D657" s="25"/>
      <c r="E657" s="25"/>
      <c r="F657" s="25"/>
      <c r="G657" s="25"/>
      <c r="H657" s="25"/>
      <c r="I657" s="65">
        <f t="shared" si="183"/>
        <v>0</v>
      </c>
      <c r="J657" s="26"/>
      <c r="K657" s="25"/>
      <c r="L657" s="16"/>
      <c r="M657" s="16"/>
      <c r="N657" s="25"/>
      <c r="O657" s="30"/>
      <c r="P657" s="252">
        <f t="shared" si="178"/>
        <v>9990</v>
      </c>
      <c r="Q657" s="253">
        <f t="shared" si="179"/>
        <v>0</v>
      </c>
      <c r="R657" s="253">
        <f t="shared" si="180"/>
        <v>0</v>
      </c>
      <c r="S657" s="251">
        <f>SUMIFS('tuot-rehukirjanpito'!D:D,'tuot-rehukirjanpito'!A:A,A657)</f>
        <v>0</v>
      </c>
      <c r="T657" s="254">
        <f t="shared" si="191"/>
        <v>1098.9000000000001</v>
      </c>
      <c r="U657" s="254">
        <f t="shared" si="192"/>
        <v>1098.8999999999999</v>
      </c>
      <c r="V657" s="252">
        <f t="shared" si="193"/>
        <v>-719779.50000000873</v>
      </c>
      <c r="W657" s="255">
        <f t="shared" si="194"/>
        <v>-655.00000000000784</v>
      </c>
      <c r="X657" s="256" t="str">
        <f t="shared" si="181"/>
        <v/>
      </c>
      <c r="Y657" s="256" t="str">
        <f t="shared" si="182"/>
        <v/>
      </c>
      <c r="Z657" s="224" t="str">
        <f>IF(IFERROR(INDEX('tuot-rehukirjanpito'!I:I,MATCH(A657,'tuot-rehukirjanpito'!G:G,0)),)=0,"",INDEX('tuot-rehukirjanpito'!I:I,MATCH(A657,'tuot-rehukirjanpito'!G:G,0)))</f>
        <v/>
      </c>
      <c r="AA657" s="224">
        <f>SUMIFS('tuot-INFO'!$K$10:$K$115,'tuot-INFO'!$A$10:$A$115,'tuot-PVÄ'!B657)</f>
        <v>0</v>
      </c>
      <c r="AB657" s="224">
        <f>SUMIFS('rehu-vesi-INFO'!$R:$R,'rehu-vesi-INFO'!$A:$A,'tuot-PVÄ'!B657)</f>
        <v>1746</v>
      </c>
      <c r="AC657" s="224">
        <f>SUMIFS('rehu-vesi-INFO'!$S:$S,'rehu-vesi-INFO'!$A:$A,'tuot-PVÄ'!B657)</f>
        <v>1853</v>
      </c>
      <c r="AD657" s="224">
        <f t="shared" si="184"/>
        <v>107</v>
      </c>
      <c r="AE657" s="224">
        <f t="shared" si="185"/>
        <v>0</v>
      </c>
      <c r="AF657" s="224">
        <f t="shared" si="186"/>
        <v>174.6</v>
      </c>
      <c r="AG657" s="224">
        <f t="shared" si="187"/>
        <v>10.7</v>
      </c>
      <c r="AH657" s="257">
        <f t="shared" si="189"/>
        <v>0</v>
      </c>
      <c r="AI657" s="258">
        <f t="shared" si="190"/>
        <v>0</v>
      </c>
      <c r="AJ657" s="55">
        <f>SUMIFS('tuot-INFO'!W:W,'tuot-INFO'!$A:$A,'tuot-PVÄ'!B657)</f>
        <v>0</v>
      </c>
      <c r="AK657" s="55">
        <f>SUMIFS('tuot-INFO'!X:X,'tuot-INFO'!$A:$A,'tuot-PVÄ'!B657)</f>
        <v>0</v>
      </c>
    </row>
    <row r="658" spans="1:37" x14ac:dyDescent="0.25">
      <c r="A658" s="169">
        <f t="shared" si="188"/>
        <v>43144</v>
      </c>
      <c r="B658" s="23">
        <f>ROUNDUP((A658-Yleistiedot!$B$4)/7,0)</f>
        <v>111</v>
      </c>
      <c r="C658" s="16"/>
      <c r="D658" s="25"/>
      <c r="E658" s="25"/>
      <c r="F658" s="25"/>
      <c r="G658" s="25"/>
      <c r="H658" s="25"/>
      <c r="I658" s="65">
        <f t="shared" si="183"/>
        <v>0</v>
      </c>
      <c r="J658" s="26"/>
      <c r="K658" s="25"/>
      <c r="L658" s="16"/>
      <c r="M658" s="16"/>
      <c r="N658" s="25"/>
      <c r="O658" s="30"/>
      <c r="P658" s="252">
        <f t="shared" si="178"/>
        <v>9990</v>
      </c>
      <c r="Q658" s="253">
        <f t="shared" si="179"/>
        <v>0</v>
      </c>
      <c r="R658" s="253">
        <f t="shared" si="180"/>
        <v>0</v>
      </c>
      <c r="S658" s="251">
        <f>SUMIFS('tuot-rehukirjanpito'!D:D,'tuot-rehukirjanpito'!A:A,A658)</f>
        <v>0</v>
      </c>
      <c r="T658" s="254">
        <f t="shared" si="191"/>
        <v>1098.9000000000001</v>
      </c>
      <c r="U658" s="254">
        <f t="shared" si="192"/>
        <v>1098.8999999999999</v>
      </c>
      <c r="V658" s="252">
        <f t="shared" si="193"/>
        <v>-720878.40000000875</v>
      </c>
      <c r="W658" s="255">
        <f t="shared" si="194"/>
        <v>-656.00000000000796</v>
      </c>
      <c r="X658" s="256" t="str">
        <f t="shared" si="181"/>
        <v/>
      </c>
      <c r="Y658" s="256" t="str">
        <f t="shared" si="182"/>
        <v/>
      </c>
      <c r="Z658" s="224" t="str">
        <f>IF(IFERROR(INDEX('tuot-rehukirjanpito'!I:I,MATCH(A658,'tuot-rehukirjanpito'!G:G,0)),)=0,"",INDEX('tuot-rehukirjanpito'!I:I,MATCH(A658,'tuot-rehukirjanpito'!G:G,0)))</f>
        <v/>
      </c>
      <c r="AA658" s="224">
        <f>SUMIFS('tuot-INFO'!$K$10:$K$115,'tuot-INFO'!$A$10:$A$115,'tuot-PVÄ'!B658)</f>
        <v>0</v>
      </c>
      <c r="AB658" s="224">
        <f>SUMIFS('rehu-vesi-INFO'!$R:$R,'rehu-vesi-INFO'!$A:$A,'tuot-PVÄ'!B658)</f>
        <v>1746</v>
      </c>
      <c r="AC658" s="224">
        <f>SUMIFS('rehu-vesi-INFO'!$S:$S,'rehu-vesi-INFO'!$A:$A,'tuot-PVÄ'!B658)</f>
        <v>1853</v>
      </c>
      <c r="AD658" s="224">
        <f t="shared" si="184"/>
        <v>107</v>
      </c>
      <c r="AE658" s="224">
        <f t="shared" si="185"/>
        <v>0</v>
      </c>
      <c r="AF658" s="224">
        <f t="shared" si="186"/>
        <v>174.6</v>
      </c>
      <c r="AG658" s="224">
        <f t="shared" si="187"/>
        <v>10.7</v>
      </c>
      <c r="AH658" s="257">
        <f t="shared" si="189"/>
        <v>0</v>
      </c>
      <c r="AI658" s="258">
        <f t="shared" si="190"/>
        <v>0</v>
      </c>
      <c r="AJ658" s="55">
        <f>SUMIFS('tuot-INFO'!W:W,'tuot-INFO'!$A:$A,'tuot-PVÄ'!B658)</f>
        <v>0</v>
      </c>
      <c r="AK658" s="55">
        <f>SUMIFS('tuot-INFO'!X:X,'tuot-INFO'!$A:$A,'tuot-PVÄ'!B658)</f>
        <v>0</v>
      </c>
    </row>
    <row r="659" spans="1:37" x14ac:dyDescent="0.25">
      <c r="A659" s="169">
        <f t="shared" si="188"/>
        <v>43145</v>
      </c>
      <c r="B659" s="23">
        <f>ROUNDUP((A659-Yleistiedot!$B$4)/7,0)</f>
        <v>111</v>
      </c>
      <c r="C659" s="16"/>
      <c r="D659" s="25"/>
      <c r="E659" s="25"/>
      <c r="F659" s="25"/>
      <c r="G659" s="25"/>
      <c r="H659" s="25"/>
      <c r="I659" s="65">
        <f t="shared" si="183"/>
        <v>0</v>
      </c>
      <c r="J659" s="26"/>
      <c r="K659" s="25"/>
      <c r="L659" s="16"/>
      <c r="M659" s="16"/>
      <c r="N659" s="25"/>
      <c r="O659" s="30"/>
      <c r="P659" s="252">
        <f t="shared" ref="P659:P722" si="195">P658-C659</f>
        <v>9990</v>
      </c>
      <c r="Q659" s="253">
        <f t="shared" ref="Q659:Q722" si="196">D659/P659*100</f>
        <v>0</v>
      </c>
      <c r="R659" s="253">
        <f t="shared" ref="R659:R722" si="197">I659/P659*100</f>
        <v>0</v>
      </c>
      <c r="S659" s="251">
        <f>SUMIFS('tuot-rehukirjanpito'!D:D,'tuot-rehukirjanpito'!A:A,A659)</f>
        <v>0</v>
      </c>
      <c r="T659" s="254">
        <f t="shared" si="191"/>
        <v>1098.9000000000001</v>
      </c>
      <c r="U659" s="254">
        <f t="shared" si="192"/>
        <v>1098.8999999999999</v>
      </c>
      <c r="V659" s="252">
        <f t="shared" si="193"/>
        <v>-721977.30000000878</v>
      </c>
      <c r="W659" s="255">
        <f t="shared" si="194"/>
        <v>-657.00000000000796</v>
      </c>
      <c r="X659" s="256" t="str">
        <f t="shared" si="181"/>
        <v/>
      </c>
      <c r="Y659" s="256" t="str">
        <f t="shared" si="182"/>
        <v/>
      </c>
      <c r="Z659" s="224" t="str">
        <f>IF(IFERROR(INDEX('tuot-rehukirjanpito'!I:I,MATCH(A659,'tuot-rehukirjanpito'!G:G,0)),)=0,"",INDEX('tuot-rehukirjanpito'!I:I,MATCH(A659,'tuot-rehukirjanpito'!G:G,0)))</f>
        <v/>
      </c>
      <c r="AA659" s="224">
        <f>SUMIFS('tuot-INFO'!$K$10:$K$115,'tuot-INFO'!$A$10:$A$115,'tuot-PVÄ'!B659)</f>
        <v>0</v>
      </c>
      <c r="AB659" s="224">
        <f>SUMIFS('rehu-vesi-INFO'!$R:$R,'rehu-vesi-INFO'!$A:$A,'tuot-PVÄ'!B659)</f>
        <v>1746</v>
      </c>
      <c r="AC659" s="224">
        <f>SUMIFS('rehu-vesi-INFO'!$S:$S,'rehu-vesi-INFO'!$A:$A,'tuot-PVÄ'!B659)</f>
        <v>1853</v>
      </c>
      <c r="AD659" s="224">
        <f t="shared" si="184"/>
        <v>107</v>
      </c>
      <c r="AE659" s="224">
        <f t="shared" si="185"/>
        <v>0</v>
      </c>
      <c r="AF659" s="224">
        <f t="shared" si="186"/>
        <v>174.6</v>
      </c>
      <c r="AG659" s="224">
        <f t="shared" si="187"/>
        <v>10.7</v>
      </c>
      <c r="AH659" s="257">
        <f t="shared" si="189"/>
        <v>0</v>
      </c>
      <c r="AI659" s="258">
        <f t="shared" si="190"/>
        <v>0</v>
      </c>
      <c r="AJ659" s="55">
        <f>SUMIFS('tuot-INFO'!W:W,'tuot-INFO'!$A:$A,'tuot-PVÄ'!B659)</f>
        <v>0</v>
      </c>
      <c r="AK659" s="55">
        <f>SUMIFS('tuot-INFO'!X:X,'tuot-INFO'!$A:$A,'tuot-PVÄ'!B659)</f>
        <v>0</v>
      </c>
    </row>
    <row r="660" spans="1:37" x14ac:dyDescent="0.25">
      <c r="A660" s="169">
        <f t="shared" si="188"/>
        <v>43146</v>
      </c>
      <c r="B660" s="23">
        <f>ROUNDUP((A660-Yleistiedot!$B$4)/7,0)</f>
        <v>111</v>
      </c>
      <c r="C660" s="16"/>
      <c r="D660" s="25"/>
      <c r="E660" s="25"/>
      <c r="F660" s="25"/>
      <c r="G660" s="25"/>
      <c r="H660" s="25"/>
      <c r="I660" s="65">
        <f t="shared" si="183"/>
        <v>0</v>
      </c>
      <c r="J660" s="26"/>
      <c r="K660" s="25"/>
      <c r="L660" s="16"/>
      <c r="M660" s="16"/>
      <c r="N660" s="25"/>
      <c r="O660" s="30"/>
      <c r="P660" s="252">
        <f t="shared" si="195"/>
        <v>9990</v>
      </c>
      <c r="Q660" s="253">
        <f t="shared" si="196"/>
        <v>0</v>
      </c>
      <c r="R660" s="253">
        <f t="shared" si="197"/>
        <v>0</v>
      </c>
      <c r="S660" s="251">
        <f>SUMIFS('tuot-rehukirjanpito'!D:D,'tuot-rehukirjanpito'!A:A,A660)</f>
        <v>0</v>
      </c>
      <c r="T660" s="254">
        <f t="shared" si="191"/>
        <v>1098.9000000000001</v>
      </c>
      <c r="U660" s="254">
        <f t="shared" si="192"/>
        <v>1098.8999999999999</v>
      </c>
      <c r="V660" s="252">
        <f t="shared" si="193"/>
        <v>-723076.2000000088</v>
      </c>
      <c r="W660" s="255">
        <f t="shared" si="194"/>
        <v>-658.00000000000796</v>
      </c>
      <c r="X660" s="256" t="str">
        <f t="shared" si="181"/>
        <v/>
      </c>
      <c r="Y660" s="256" t="str">
        <f t="shared" si="182"/>
        <v/>
      </c>
      <c r="Z660" s="224" t="str">
        <f>IF(IFERROR(INDEX('tuot-rehukirjanpito'!I:I,MATCH(A660,'tuot-rehukirjanpito'!G:G,0)),)=0,"",INDEX('tuot-rehukirjanpito'!I:I,MATCH(A660,'tuot-rehukirjanpito'!G:G,0)))</f>
        <v/>
      </c>
      <c r="AA660" s="224">
        <f>SUMIFS('tuot-INFO'!$K$10:$K$115,'tuot-INFO'!$A$10:$A$115,'tuot-PVÄ'!B660)</f>
        <v>0</v>
      </c>
      <c r="AB660" s="224">
        <f>SUMIFS('rehu-vesi-INFO'!$R:$R,'rehu-vesi-INFO'!$A:$A,'tuot-PVÄ'!B660)</f>
        <v>1746</v>
      </c>
      <c r="AC660" s="224">
        <f>SUMIFS('rehu-vesi-INFO'!$S:$S,'rehu-vesi-INFO'!$A:$A,'tuot-PVÄ'!B660)</f>
        <v>1853</v>
      </c>
      <c r="AD660" s="224">
        <f t="shared" si="184"/>
        <v>107</v>
      </c>
      <c r="AE660" s="224">
        <f t="shared" si="185"/>
        <v>0</v>
      </c>
      <c r="AF660" s="224">
        <f t="shared" si="186"/>
        <v>174.6</v>
      </c>
      <c r="AG660" s="224">
        <f t="shared" si="187"/>
        <v>10.7</v>
      </c>
      <c r="AH660" s="257">
        <f t="shared" si="189"/>
        <v>0</v>
      </c>
      <c r="AI660" s="258">
        <f t="shared" si="190"/>
        <v>0</v>
      </c>
      <c r="AJ660" s="55">
        <f>SUMIFS('tuot-INFO'!W:W,'tuot-INFO'!$A:$A,'tuot-PVÄ'!B660)</f>
        <v>0</v>
      </c>
      <c r="AK660" s="55">
        <f>SUMIFS('tuot-INFO'!X:X,'tuot-INFO'!$A:$A,'tuot-PVÄ'!B660)</f>
        <v>0</v>
      </c>
    </row>
    <row r="661" spans="1:37" x14ac:dyDescent="0.25">
      <c r="A661" s="169">
        <f t="shared" si="188"/>
        <v>43147</v>
      </c>
      <c r="B661" s="23">
        <f>ROUNDUP((A661-Yleistiedot!$B$4)/7,0)</f>
        <v>111</v>
      </c>
      <c r="C661" s="16"/>
      <c r="D661" s="25"/>
      <c r="E661" s="25"/>
      <c r="F661" s="25"/>
      <c r="G661" s="25"/>
      <c r="H661" s="25"/>
      <c r="I661" s="65">
        <f t="shared" si="183"/>
        <v>0</v>
      </c>
      <c r="J661" s="26"/>
      <c r="K661" s="25"/>
      <c r="L661" s="16"/>
      <c r="M661" s="16"/>
      <c r="N661" s="25"/>
      <c r="O661" s="30"/>
      <c r="P661" s="252">
        <f t="shared" si="195"/>
        <v>9990</v>
      </c>
      <c r="Q661" s="253">
        <f t="shared" si="196"/>
        <v>0</v>
      </c>
      <c r="R661" s="253">
        <f t="shared" si="197"/>
        <v>0</v>
      </c>
      <c r="S661" s="251">
        <f>SUMIFS('tuot-rehukirjanpito'!D:D,'tuot-rehukirjanpito'!A:A,A661)</f>
        <v>0</v>
      </c>
      <c r="T661" s="254">
        <f t="shared" si="191"/>
        <v>1098.9000000000001</v>
      </c>
      <c r="U661" s="254">
        <f t="shared" si="192"/>
        <v>1098.8999999999999</v>
      </c>
      <c r="V661" s="252">
        <f t="shared" si="193"/>
        <v>-724175.10000000882</v>
      </c>
      <c r="W661" s="255">
        <f t="shared" si="194"/>
        <v>-659.00000000000796</v>
      </c>
      <c r="X661" s="256" t="str">
        <f t="shared" si="181"/>
        <v/>
      </c>
      <c r="Y661" s="256" t="str">
        <f t="shared" si="182"/>
        <v/>
      </c>
      <c r="Z661" s="224" t="str">
        <f>IF(IFERROR(INDEX('tuot-rehukirjanpito'!I:I,MATCH(A661,'tuot-rehukirjanpito'!G:G,0)),)=0,"",INDEX('tuot-rehukirjanpito'!I:I,MATCH(A661,'tuot-rehukirjanpito'!G:G,0)))</f>
        <v/>
      </c>
      <c r="AA661" s="224">
        <f>SUMIFS('tuot-INFO'!$K$10:$K$115,'tuot-INFO'!$A$10:$A$115,'tuot-PVÄ'!B661)</f>
        <v>0</v>
      </c>
      <c r="AB661" s="224">
        <f>SUMIFS('rehu-vesi-INFO'!$R:$R,'rehu-vesi-INFO'!$A:$A,'tuot-PVÄ'!B661)</f>
        <v>1746</v>
      </c>
      <c r="AC661" s="224">
        <f>SUMIFS('rehu-vesi-INFO'!$S:$S,'rehu-vesi-INFO'!$A:$A,'tuot-PVÄ'!B661)</f>
        <v>1853</v>
      </c>
      <c r="AD661" s="224">
        <f t="shared" si="184"/>
        <v>107</v>
      </c>
      <c r="AE661" s="224">
        <f t="shared" si="185"/>
        <v>0</v>
      </c>
      <c r="AF661" s="224">
        <f t="shared" si="186"/>
        <v>174.6</v>
      </c>
      <c r="AG661" s="224">
        <f t="shared" si="187"/>
        <v>10.7</v>
      </c>
      <c r="AH661" s="257">
        <f t="shared" si="189"/>
        <v>0</v>
      </c>
      <c r="AI661" s="258">
        <f t="shared" si="190"/>
        <v>0</v>
      </c>
      <c r="AJ661" s="55">
        <f>SUMIFS('tuot-INFO'!W:W,'tuot-INFO'!$A:$A,'tuot-PVÄ'!B661)</f>
        <v>0</v>
      </c>
      <c r="AK661" s="55">
        <f>SUMIFS('tuot-INFO'!X:X,'tuot-INFO'!$A:$A,'tuot-PVÄ'!B661)</f>
        <v>0</v>
      </c>
    </row>
    <row r="662" spans="1:37" x14ac:dyDescent="0.25">
      <c r="A662" s="169">
        <f t="shared" si="188"/>
        <v>43148</v>
      </c>
      <c r="B662" s="23">
        <f>ROUNDUP((A662-Yleistiedot!$B$4)/7,0)</f>
        <v>112</v>
      </c>
      <c r="C662" s="16"/>
      <c r="D662" s="25"/>
      <c r="E662" s="25"/>
      <c r="F662" s="25"/>
      <c r="G662" s="25"/>
      <c r="H662" s="25"/>
      <c r="I662" s="65">
        <f t="shared" si="183"/>
        <v>0</v>
      </c>
      <c r="J662" s="26"/>
      <c r="K662" s="25"/>
      <c r="L662" s="16"/>
      <c r="M662" s="16"/>
      <c r="N662" s="25"/>
      <c r="O662" s="30"/>
      <c r="P662" s="252">
        <f t="shared" si="195"/>
        <v>9990</v>
      </c>
      <c r="Q662" s="253">
        <f t="shared" si="196"/>
        <v>0</v>
      </c>
      <c r="R662" s="253">
        <f t="shared" si="197"/>
        <v>0</v>
      </c>
      <c r="S662" s="251">
        <f>SUMIFS('tuot-rehukirjanpito'!D:D,'tuot-rehukirjanpito'!A:A,A662)</f>
        <v>0</v>
      </c>
      <c r="T662" s="254">
        <f t="shared" si="191"/>
        <v>1098.9000000000001</v>
      </c>
      <c r="U662" s="254">
        <f t="shared" si="192"/>
        <v>1098.8999999999999</v>
      </c>
      <c r="V662" s="252">
        <f t="shared" si="193"/>
        <v>-725274.00000000885</v>
      </c>
      <c r="W662" s="255">
        <f t="shared" si="194"/>
        <v>-660.00000000000796</v>
      </c>
      <c r="X662" s="256" t="str">
        <f t="shared" si="181"/>
        <v/>
      </c>
      <c r="Y662" s="256" t="str">
        <f t="shared" si="182"/>
        <v/>
      </c>
      <c r="Z662" s="224" t="str">
        <f>IF(IFERROR(INDEX('tuot-rehukirjanpito'!I:I,MATCH(A662,'tuot-rehukirjanpito'!G:G,0)),)=0,"",INDEX('tuot-rehukirjanpito'!I:I,MATCH(A662,'tuot-rehukirjanpito'!G:G,0)))</f>
        <v/>
      </c>
      <c r="AA662" s="224">
        <f>SUMIFS('tuot-INFO'!$K$10:$K$115,'tuot-INFO'!$A$10:$A$115,'tuot-PVÄ'!B662)</f>
        <v>0</v>
      </c>
      <c r="AB662" s="224">
        <f>SUMIFS('rehu-vesi-INFO'!$R:$R,'rehu-vesi-INFO'!$A:$A,'tuot-PVÄ'!B662)</f>
        <v>1746</v>
      </c>
      <c r="AC662" s="224">
        <f>SUMIFS('rehu-vesi-INFO'!$S:$S,'rehu-vesi-INFO'!$A:$A,'tuot-PVÄ'!B662)</f>
        <v>1853</v>
      </c>
      <c r="AD662" s="224">
        <f t="shared" si="184"/>
        <v>107</v>
      </c>
      <c r="AE662" s="224">
        <f t="shared" si="185"/>
        <v>0</v>
      </c>
      <c r="AF662" s="224">
        <f t="shared" si="186"/>
        <v>174.6</v>
      </c>
      <c r="AG662" s="224">
        <f t="shared" si="187"/>
        <v>10.7</v>
      </c>
      <c r="AH662" s="257">
        <f t="shared" si="189"/>
        <v>0</v>
      </c>
      <c r="AI662" s="258">
        <f t="shared" si="190"/>
        <v>0</v>
      </c>
      <c r="AJ662" s="55">
        <f>SUMIFS('tuot-INFO'!W:W,'tuot-INFO'!$A:$A,'tuot-PVÄ'!B662)</f>
        <v>0</v>
      </c>
      <c r="AK662" s="55">
        <f>SUMIFS('tuot-INFO'!X:X,'tuot-INFO'!$A:$A,'tuot-PVÄ'!B662)</f>
        <v>0</v>
      </c>
    </row>
    <row r="663" spans="1:37" x14ac:dyDescent="0.25">
      <c r="A663" s="169">
        <f t="shared" si="188"/>
        <v>43149</v>
      </c>
      <c r="B663" s="23">
        <f>ROUNDUP((A663-Yleistiedot!$B$4)/7,0)</f>
        <v>112</v>
      </c>
      <c r="C663" s="16"/>
      <c r="D663" s="25"/>
      <c r="E663" s="25"/>
      <c r="F663" s="25"/>
      <c r="G663" s="25"/>
      <c r="H663" s="25"/>
      <c r="I663" s="65">
        <f t="shared" si="183"/>
        <v>0</v>
      </c>
      <c r="J663" s="26"/>
      <c r="K663" s="25"/>
      <c r="L663" s="16"/>
      <c r="M663" s="16"/>
      <c r="N663" s="25"/>
      <c r="O663" s="30"/>
      <c r="P663" s="252">
        <f t="shared" si="195"/>
        <v>9990</v>
      </c>
      <c r="Q663" s="253">
        <f t="shared" si="196"/>
        <v>0</v>
      </c>
      <c r="R663" s="253">
        <f t="shared" si="197"/>
        <v>0</v>
      </c>
      <c r="S663" s="251">
        <f>SUMIFS('tuot-rehukirjanpito'!D:D,'tuot-rehukirjanpito'!A:A,A663)</f>
        <v>0</v>
      </c>
      <c r="T663" s="254">
        <f t="shared" si="191"/>
        <v>1098.9000000000001</v>
      </c>
      <c r="U663" s="254">
        <f t="shared" si="192"/>
        <v>1098.8999999999999</v>
      </c>
      <c r="V663" s="252">
        <f t="shared" si="193"/>
        <v>-726372.90000000887</v>
      </c>
      <c r="W663" s="255">
        <f t="shared" si="194"/>
        <v>-661.00000000000807</v>
      </c>
      <c r="X663" s="256" t="str">
        <f t="shared" ref="X663:X726" si="198">IF(S663&lt;&gt;0,ROUND(A663+W662,0),"")</f>
        <v/>
      </c>
      <c r="Y663" s="256" t="str">
        <f t="shared" ref="Y663:Y726" si="199">IF(S663&lt;&gt;0,ROUND(A663+W663,0),"")</f>
        <v/>
      </c>
      <c r="Z663" s="224" t="str">
        <f>IF(IFERROR(INDEX('tuot-rehukirjanpito'!I:I,MATCH(A663,'tuot-rehukirjanpito'!G:G,0)),)=0,"",INDEX('tuot-rehukirjanpito'!I:I,MATCH(A663,'tuot-rehukirjanpito'!G:G,0)))</f>
        <v/>
      </c>
      <c r="AA663" s="224">
        <f>SUMIFS('tuot-INFO'!$K$10:$K$115,'tuot-INFO'!$A$10:$A$115,'tuot-PVÄ'!B663)</f>
        <v>0</v>
      </c>
      <c r="AB663" s="224">
        <f>SUMIFS('rehu-vesi-INFO'!$R:$R,'rehu-vesi-INFO'!$A:$A,'tuot-PVÄ'!B663)</f>
        <v>1746</v>
      </c>
      <c r="AC663" s="224">
        <f>SUMIFS('rehu-vesi-INFO'!$S:$S,'rehu-vesi-INFO'!$A:$A,'tuot-PVÄ'!B663)</f>
        <v>1853</v>
      </c>
      <c r="AD663" s="224">
        <f t="shared" si="184"/>
        <v>107</v>
      </c>
      <c r="AE663" s="224">
        <f t="shared" si="185"/>
        <v>0</v>
      </c>
      <c r="AF663" s="224">
        <f t="shared" si="186"/>
        <v>174.6</v>
      </c>
      <c r="AG663" s="224">
        <f t="shared" si="187"/>
        <v>10.7</v>
      </c>
      <c r="AH663" s="257">
        <f t="shared" si="189"/>
        <v>0</v>
      </c>
      <c r="AI663" s="258">
        <f t="shared" si="190"/>
        <v>0</v>
      </c>
      <c r="AJ663" s="55">
        <f>SUMIFS('tuot-INFO'!W:W,'tuot-INFO'!$A:$A,'tuot-PVÄ'!B663)</f>
        <v>0</v>
      </c>
      <c r="AK663" s="55">
        <f>SUMIFS('tuot-INFO'!X:X,'tuot-INFO'!$A:$A,'tuot-PVÄ'!B663)</f>
        <v>0</v>
      </c>
    </row>
    <row r="664" spans="1:37" x14ac:dyDescent="0.25">
      <c r="A664" s="169">
        <f t="shared" si="188"/>
        <v>43150</v>
      </c>
      <c r="B664" s="23">
        <f>ROUNDUP((A664-Yleistiedot!$B$4)/7,0)</f>
        <v>112</v>
      </c>
      <c r="C664" s="16"/>
      <c r="D664" s="25"/>
      <c r="E664" s="25"/>
      <c r="F664" s="25"/>
      <c r="G664" s="25"/>
      <c r="H664" s="25"/>
      <c r="I664" s="65">
        <f t="shared" si="183"/>
        <v>0</v>
      </c>
      <c r="J664" s="26"/>
      <c r="K664" s="25"/>
      <c r="L664" s="16"/>
      <c r="M664" s="16"/>
      <c r="N664" s="25"/>
      <c r="O664" s="30"/>
      <c r="P664" s="252">
        <f t="shared" si="195"/>
        <v>9990</v>
      </c>
      <c r="Q664" s="253">
        <f t="shared" si="196"/>
        <v>0</v>
      </c>
      <c r="R664" s="253">
        <f t="shared" si="197"/>
        <v>0</v>
      </c>
      <c r="S664" s="251">
        <f>SUMIFS('tuot-rehukirjanpito'!D:D,'tuot-rehukirjanpito'!A:A,A664)</f>
        <v>0</v>
      </c>
      <c r="T664" s="254">
        <f t="shared" si="191"/>
        <v>1098.9000000000001</v>
      </c>
      <c r="U664" s="254">
        <f t="shared" si="192"/>
        <v>1098.8999999999999</v>
      </c>
      <c r="V664" s="252">
        <f t="shared" si="193"/>
        <v>-727471.80000000889</v>
      </c>
      <c r="W664" s="255">
        <f t="shared" si="194"/>
        <v>-662.00000000000807</v>
      </c>
      <c r="X664" s="256" t="str">
        <f t="shared" si="198"/>
        <v/>
      </c>
      <c r="Y664" s="256" t="str">
        <f t="shared" si="199"/>
        <v/>
      </c>
      <c r="Z664" s="224" t="str">
        <f>IF(IFERROR(INDEX('tuot-rehukirjanpito'!I:I,MATCH(A664,'tuot-rehukirjanpito'!G:G,0)),)=0,"",INDEX('tuot-rehukirjanpito'!I:I,MATCH(A664,'tuot-rehukirjanpito'!G:G,0)))</f>
        <v/>
      </c>
      <c r="AA664" s="224">
        <f>SUMIFS('tuot-INFO'!$K$10:$K$115,'tuot-INFO'!$A$10:$A$115,'tuot-PVÄ'!B664)</f>
        <v>0</v>
      </c>
      <c r="AB664" s="224">
        <f>SUMIFS('rehu-vesi-INFO'!$R:$R,'rehu-vesi-INFO'!$A:$A,'tuot-PVÄ'!B664)</f>
        <v>1746</v>
      </c>
      <c r="AC664" s="224">
        <f>SUMIFS('rehu-vesi-INFO'!$S:$S,'rehu-vesi-INFO'!$A:$A,'tuot-PVÄ'!B664)</f>
        <v>1853</v>
      </c>
      <c r="AD664" s="224">
        <f t="shared" si="184"/>
        <v>107</v>
      </c>
      <c r="AE664" s="224">
        <f t="shared" si="185"/>
        <v>0</v>
      </c>
      <c r="AF664" s="224">
        <f t="shared" si="186"/>
        <v>174.6</v>
      </c>
      <c r="AG664" s="224">
        <f t="shared" si="187"/>
        <v>10.7</v>
      </c>
      <c r="AH664" s="257">
        <f t="shared" si="189"/>
        <v>0</v>
      </c>
      <c r="AI664" s="258">
        <f t="shared" si="190"/>
        <v>0</v>
      </c>
      <c r="AJ664" s="55">
        <f>SUMIFS('tuot-INFO'!W:W,'tuot-INFO'!$A:$A,'tuot-PVÄ'!B664)</f>
        <v>0</v>
      </c>
      <c r="AK664" s="55">
        <f>SUMIFS('tuot-INFO'!X:X,'tuot-INFO'!$A:$A,'tuot-PVÄ'!B664)</f>
        <v>0</v>
      </c>
    </row>
    <row r="665" spans="1:37" x14ac:dyDescent="0.25">
      <c r="A665" s="169">
        <f t="shared" si="188"/>
        <v>43151</v>
      </c>
      <c r="B665" s="23">
        <f>ROUNDUP((A665-Yleistiedot!$B$4)/7,0)</f>
        <v>112</v>
      </c>
      <c r="C665" s="16"/>
      <c r="D665" s="25"/>
      <c r="E665" s="25"/>
      <c r="F665" s="25"/>
      <c r="G665" s="25"/>
      <c r="H665" s="25"/>
      <c r="I665" s="65">
        <f t="shared" si="183"/>
        <v>0</v>
      </c>
      <c r="J665" s="26"/>
      <c r="K665" s="25"/>
      <c r="L665" s="16"/>
      <c r="M665" s="16"/>
      <c r="N665" s="25"/>
      <c r="O665" s="30"/>
      <c r="P665" s="252">
        <f t="shared" si="195"/>
        <v>9990</v>
      </c>
      <c r="Q665" s="253">
        <f t="shared" si="196"/>
        <v>0</v>
      </c>
      <c r="R665" s="253">
        <f t="shared" si="197"/>
        <v>0</v>
      </c>
      <c r="S665" s="251">
        <f>SUMIFS('tuot-rehukirjanpito'!D:D,'tuot-rehukirjanpito'!A:A,A665)</f>
        <v>0</v>
      </c>
      <c r="T665" s="254">
        <f t="shared" si="191"/>
        <v>1098.9000000000001</v>
      </c>
      <c r="U665" s="254">
        <f t="shared" si="192"/>
        <v>1098.8999999999999</v>
      </c>
      <c r="V665" s="252">
        <f t="shared" si="193"/>
        <v>-728570.70000000892</v>
      </c>
      <c r="W665" s="255">
        <f t="shared" si="194"/>
        <v>-663.00000000000807</v>
      </c>
      <c r="X665" s="256" t="str">
        <f t="shared" si="198"/>
        <v/>
      </c>
      <c r="Y665" s="256" t="str">
        <f t="shared" si="199"/>
        <v/>
      </c>
      <c r="Z665" s="224" t="str">
        <f>IF(IFERROR(INDEX('tuot-rehukirjanpito'!I:I,MATCH(A665,'tuot-rehukirjanpito'!G:G,0)),)=0,"",INDEX('tuot-rehukirjanpito'!I:I,MATCH(A665,'tuot-rehukirjanpito'!G:G,0)))</f>
        <v/>
      </c>
      <c r="AA665" s="224">
        <f>SUMIFS('tuot-INFO'!$K$10:$K$115,'tuot-INFO'!$A$10:$A$115,'tuot-PVÄ'!B665)</f>
        <v>0</v>
      </c>
      <c r="AB665" s="224">
        <f>SUMIFS('rehu-vesi-INFO'!$R:$R,'rehu-vesi-INFO'!$A:$A,'tuot-PVÄ'!B665)</f>
        <v>1746</v>
      </c>
      <c r="AC665" s="224">
        <f>SUMIFS('rehu-vesi-INFO'!$S:$S,'rehu-vesi-INFO'!$A:$A,'tuot-PVÄ'!B665)</f>
        <v>1853</v>
      </c>
      <c r="AD665" s="224">
        <f t="shared" si="184"/>
        <v>107</v>
      </c>
      <c r="AE665" s="224">
        <f t="shared" si="185"/>
        <v>0</v>
      </c>
      <c r="AF665" s="224">
        <f t="shared" si="186"/>
        <v>174.6</v>
      </c>
      <c r="AG665" s="224">
        <f t="shared" si="187"/>
        <v>10.7</v>
      </c>
      <c r="AH665" s="257">
        <f t="shared" si="189"/>
        <v>0</v>
      </c>
      <c r="AI665" s="258">
        <f t="shared" si="190"/>
        <v>0</v>
      </c>
      <c r="AJ665" s="55">
        <f>SUMIFS('tuot-INFO'!W:W,'tuot-INFO'!$A:$A,'tuot-PVÄ'!B665)</f>
        <v>0</v>
      </c>
      <c r="AK665" s="55">
        <f>SUMIFS('tuot-INFO'!X:X,'tuot-INFO'!$A:$A,'tuot-PVÄ'!B665)</f>
        <v>0</v>
      </c>
    </row>
    <row r="666" spans="1:37" x14ac:dyDescent="0.25">
      <c r="A666" s="169">
        <f t="shared" si="188"/>
        <v>43152</v>
      </c>
      <c r="B666" s="23">
        <f>ROUNDUP((A666-Yleistiedot!$B$4)/7,0)</f>
        <v>112</v>
      </c>
      <c r="C666" s="16"/>
      <c r="D666" s="25"/>
      <c r="E666" s="25"/>
      <c r="F666" s="25"/>
      <c r="G666" s="25"/>
      <c r="H666" s="25"/>
      <c r="I666" s="65">
        <f t="shared" si="183"/>
        <v>0</v>
      </c>
      <c r="J666" s="26"/>
      <c r="K666" s="25"/>
      <c r="L666" s="16"/>
      <c r="M666" s="16"/>
      <c r="N666" s="25"/>
      <c r="O666" s="30"/>
      <c r="P666" s="252">
        <f t="shared" si="195"/>
        <v>9990</v>
      </c>
      <c r="Q666" s="253">
        <f t="shared" si="196"/>
        <v>0</v>
      </c>
      <c r="R666" s="253">
        <f t="shared" si="197"/>
        <v>0</v>
      </c>
      <c r="S666" s="251">
        <f>SUMIFS('tuot-rehukirjanpito'!D:D,'tuot-rehukirjanpito'!A:A,A666)</f>
        <v>0</v>
      </c>
      <c r="T666" s="254">
        <f t="shared" si="191"/>
        <v>1098.9000000000001</v>
      </c>
      <c r="U666" s="254">
        <f t="shared" si="192"/>
        <v>1098.8999999999999</v>
      </c>
      <c r="V666" s="252">
        <f t="shared" si="193"/>
        <v>-729669.60000000894</v>
      </c>
      <c r="W666" s="255">
        <f t="shared" si="194"/>
        <v>-664.00000000000807</v>
      </c>
      <c r="X666" s="256" t="str">
        <f t="shared" si="198"/>
        <v/>
      </c>
      <c r="Y666" s="256" t="str">
        <f t="shared" si="199"/>
        <v/>
      </c>
      <c r="Z666" s="224" t="str">
        <f>IF(IFERROR(INDEX('tuot-rehukirjanpito'!I:I,MATCH(A666,'tuot-rehukirjanpito'!G:G,0)),)=0,"",INDEX('tuot-rehukirjanpito'!I:I,MATCH(A666,'tuot-rehukirjanpito'!G:G,0)))</f>
        <v/>
      </c>
      <c r="AA666" s="224">
        <f>SUMIFS('tuot-INFO'!$K$10:$K$115,'tuot-INFO'!$A$10:$A$115,'tuot-PVÄ'!B666)</f>
        <v>0</v>
      </c>
      <c r="AB666" s="224">
        <f>SUMIFS('rehu-vesi-INFO'!$R:$R,'rehu-vesi-INFO'!$A:$A,'tuot-PVÄ'!B666)</f>
        <v>1746</v>
      </c>
      <c r="AC666" s="224">
        <f>SUMIFS('rehu-vesi-INFO'!$S:$S,'rehu-vesi-INFO'!$A:$A,'tuot-PVÄ'!B666)</f>
        <v>1853</v>
      </c>
      <c r="AD666" s="224">
        <f t="shared" si="184"/>
        <v>107</v>
      </c>
      <c r="AE666" s="224">
        <f t="shared" si="185"/>
        <v>0</v>
      </c>
      <c r="AF666" s="224">
        <f t="shared" si="186"/>
        <v>174.6</v>
      </c>
      <c r="AG666" s="224">
        <f t="shared" si="187"/>
        <v>10.7</v>
      </c>
      <c r="AH666" s="257">
        <f t="shared" si="189"/>
        <v>0</v>
      </c>
      <c r="AI666" s="258">
        <f t="shared" si="190"/>
        <v>0</v>
      </c>
      <c r="AJ666" s="55">
        <f>SUMIFS('tuot-INFO'!W:W,'tuot-INFO'!$A:$A,'tuot-PVÄ'!B666)</f>
        <v>0</v>
      </c>
      <c r="AK666" s="55">
        <f>SUMIFS('tuot-INFO'!X:X,'tuot-INFO'!$A:$A,'tuot-PVÄ'!B666)</f>
        <v>0</v>
      </c>
    </row>
    <row r="667" spans="1:37" x14ac:dyDescent="0.25">
      <c r="A667" s="169">
        <f t="shared" si="188"/>
        <v>43153</v>
      </c>
      <c r="B667" s="23">
        <f>ROUNDUP((A667-Yleistiedot!$B$4)/7,0)</f>
        <v>112</v>
      </c>
      <c r="C667" s="16"/>
      <c r="D667" s="25"/>
      <c r="E667" s="25"/>
      <c r="F667" s="25"/>
      <c r="G667" s="25"/>
      <c r="H667" s="25"/>
      <c r="I667" s="65">
        <f t="shared" si="183"/>
        <v>0</v>
      </c>
      <c r="J667" s="26"/>
      <c r="K667" s="25"/>
      <c r="L667" s="16"/>
      <c r="M667" s="16"/>
      <c r="N667" s="25"/>
      <c r="O667" s="30"/>
      <c r="P667" s="252">
        <f t="shared" si="195"/>
        <v>9990</v>
      </c>
      <c r="Q667" s="253">
        <f t="shared" si="196"/>
        <v>0</v>
      </c>
      <c r="R667" s="253">
        <f t="shared" si="197"/>
        <v>0</v>
      </c>
      <c r="S667" s="251">
        <f>SUMIFS('tuot-rehukirjanpito'!D:D,'tuot-rehukirjanpito'!A:A,A667)</f>
        <v>0</v>
      </c>
      <c r="T667" s="254">
        <f t="shared" si="191"/>
        <v>1098.9000000000001</v>
      </c>
      <c r="U667" s="254">
        <f t="shared" si="192"/>
        <v>1098.8999999999999</v>
      </c>
      <c r="V667" s="252">
        <f t="shared" si="193"/>
        <v>-730768.50000000896</v>
      </c>
      <c r="W667" s="255">
        <f t="shared" si="194"/>
        <v>-665.00000000000807</v>
      </c>
      <c r="X667" s="256" t="str">
        <f t="shared" si="198"/>
        <v/>
      </c>
      <c r="Y667" s="256" t="str">
        <f t="shared" si="199"/>
        <v/>
      </c>
      <c r="Z667" s="224" t="str">
        <f>IF(IFERROR(INDEX('tuot-rehukirjanpito'!I:I,MATCH(A667,'tuot-rehukirjanpito'!G:G,0)),)=0,"",INDEX('tuot-rehukirjanpito'!I:I,MATCH(A667,'tuot-rehukirjanpito'!G:G,0)))</f>
        <v/>
      </c>
      <c r="AA667" s="224">
        <f>SUMIFS('tuot-INFO'!$K$10:$K$115,'tuot-INFO'!$A$10:$A$115,'tuot-PVÄ'!B667)</f>
        <v>0</v>
      </c>
      <c r="AB667" s="224">
        <f>SUMIFS('rehu-vesi-INFO'!$R:$R,'rehu-vesi-INFO'!$A:$A,'tuot-PVÄ'!B667)</f>
        <v>1746</v>
      </c>
      <c r="AC667" s="224">
        <f>SUMIFS('rehu-vesi-INFO'!$S:$S,'rehu-vesi-INFO'!$A:$A,'tuot-PVÄ'!B667)</f>
        <v>1853</v>
      </c>
      <c r="AD667" s="224">
        <f t="shared" si="184"/>
        <v>107</v>
      </c>
      <c r="AE667" s="224">
        <f t="shared" si="185"/>
        <v>0</v>
      </c>
      <c r="AF667" s="224">
        <f t="shared" si="186"/>
        <v>174.6</v>
      </c>
      <c r="AG667" s="224">
        <f t="shared" si="187"/>
        <v>10.7</v>
      </c>
      <c r="AH667" s="257">
        <f t="shared" si="189"/>
        <v>0</v>
      </c>
      <c r="AI667" s="258">
        <f t="shared" si="190"/>
        <v>0</v>
      </c>
      <c r="AJ667" s="55">
        <f>SUMIFS('tuot-INFO'!W:W,'tuot-INFO'!$A:$A,'tuot-PVÄ'!B667)</f>
        <v>0</v>
      </c>
      <c r="AK667" s="55">
        <f>SUMIFS('tuot-INFO'!X:X,'tuot-INFO'!$A:$A,'tuot-PVÄ'!B667)</f>
        <v>0</v>
      </c>
    </row>
    <row r="668" spans="1:37" x14ac:dyDescent="0.25">
      <c r="A668" s="169">
        <f t="shared" si="188"/>
        <v>43154</v>
      </c>
      <c r="B668" s="23">
        <f>ROUNDUP((A668-Yleistiedot!$B$4)/7,0)</f>
        <v>112</v>
      </c>
      <c r="C668" s="16"/>
      <c r="D668" s="25"/>
      <c r="E668" s="25"/>
      <c r="F668" s="25"/>
      <c r="G668" s="25"/>
      <c r="H668" s="25"/>
      <c r="I668" s="65">
        <f t="shared" si="183"/>
        <v>0</v>
      </c>
      <c r="J668" s="26"/>
      <c r="K668" s="25"/>
      <c r="L668" s="16"/>
      <c r="M668" s="16"/>
      <c r="N668" s="25"/>
      <c r="O668" s="30"/>
      <c r="P668" s="252">
        <f t="shared" si="195"/>
        <v>9990</v>
      </c>
      <c r="Q668" s="253">
        <f t="shared" si="196"/>
        <v>0</v>
      </c>
      <c r="R668" s="253">
        <f t="shared" si="197"/>
        <v>0</v>
      </c>
      <c r="S668" s="251">
        <f>SUMIFS('tuot-rehukirjanpito'!D:D,'tuot-rehukirjanpito'!A:A,A668)</f>
        <v>0</v>
      </c>
      <c r="T668" s="254">
        <f t="shared" si="191"/>
        <v>1098.9000000000001</v>
      </c>
      <c r="U668" s="254">
        <f t="shared" si="192"/>
        <v>1098.8999999999999</v>
      </c>
      <c r="V668" s="252">
        <f t="shared" si="193"/>
        <v>-731867.40000000899</v>
      </c>
      <c r="W668" s="255">
        <f t="shared" si="194"/>
        <v>-666.00000000000807</v>
      </c>
      <c r="X668" s="256" t="str">
        <f t="shared" si="198"/>
        <v/>
      </c>
      <c r="Y668" s="256" t="str">
        <f t="shared" si="199"/>
        <v/>
      </c>
      <c r="Z668" s="224" t="str">
        <f>IF(IFERROR(INDEX('tuot-rehukirjanpito'!I:I,MATCH(A668,'tuot-rehukirjanpito'!G:G,0)),)=0,"",INDEX('tuot-rehukirjanpito'!I:I,MATCH(A668,'tuot-rehukirjanpito'!G:G,0)))</f>
        <v/>
      </c>
      <c r="AA668" s="224">
        <f>SUMIFS('tuot-INFO'!$K$10:$K$115,'tuot-INFO'!$A$10:$A$115,'tuot-PVÄ'!B668)</f>
        <v>0</v>
      </c>
      <c r="AB668" s="224">
        <f>SUMIFS('rehu-vesi-INFO'!$R:$R,'rehu-vesi-INFO'!$A:$A,'tuot-PVÄ'!B668)</f>
        <v>1746</v>
      </c>
      <c r="AC668" s="224">
        <f>SUMIFS('rehu-vesi-INFO'!$S:$S,'rehu-vesi-INFO'!$A:$A,'tuot-PVÄ'!B668)</f>
        <v>1853</v>
      </c>
      <c r="AD668" s="224">
        <f t="shared" si="184"/>
        <v>107</v>
      </c>
      <c r="AE668" s="224">
        <f t="shared" si="185"/>
        <v>0</v>
      </c>
      <c r="AF668" s="224">
        <f t="shared" si="186"/>
        <v>174.6</v>
      </c>
      <c r="AG668" s="224">
        <f t="shared" si="187"/>
        <v>10.7</v>
      </c>
      <c r="AH668" s="257">
        <f t="shared" si="189"/>
        <v>0</v>
      </c>
      <c r="AI668" s="258">
        <f t="shared" si="190"/>
        <v>0</v>
      </c>
      <c r="AJ668" s="55">
        <f>SUMIFS('tuot-INFO'!W:W,'tuot-INFO'!$A:$A,'tuot-PVÄ'!B668)</f>
        <v>0</v>
      </c>
      <c r="AK668" s="55">
        <f>SUMIFS('tuot-INFO'!X:X,'tuot-INFO'!$A:$A,'tuot-PVÄ'!B668)</f>
        <v>0</v>
      </c>
    </row>
    <row r="669" spans="1:37" x14ac:dyDescent="0.25">
      <c r="A669" s="169">
        <f t="shared" si="188"/>
        <v>43155</v>
      </c>
      <c r="B669" s="23">
        <f>ROUNDUP((A669-Yleistiedot!$B$4)/7,0)</f>
        <v>113</v>
      </c>
      <c r="C669" s="16"/>
      <c r="D669" s="25"/>
      <c r="E669" s="25"/>
      <c r="F669" s="25"/>
      <c r="G669" s="25"/>
      <c r="H669" s="25"/>
      <c r="I669" s="65">
        <f t="shared" si="183"/>
        <v>0</v>
      </c>
      <c r="J669" s="26"/>
      <c r="K669" s="25"/>
      <c r="L669" s="16"/>
      <c r="M669" s="16"/>
      <c r="N669" s="25"/>
      <c r="O669" s="30"/>
      <c r="P669" s="252">
        <f t="shared" si="195"/>
        <v>9990</v>
      </c>
      <c r="Q669" s="253">
        <f t="shared" si="196"/>
        <v>0</v>
      </c>
      <c r="R669" s="253">
        <f t="shared" si="197"/>
        <v>0</v>
      </c>
      <c r="S669" s="251">
        <f>SUMIFS('tuot-rehukirjanpito'!D:D,'tuot-rehukirjanpito'!A:A,A669)</f>
        <v>0</v>
      </c>
      <c r="T669" s="254">
        <f t="shared" si="191"/>
        <v>1098.9000000000001</v>
      </c>
      <c r="U669" s="254">
        <f t="shared" si="192"/>
        <v>1098.8999999999999</v>
      </c>
      <c r="V669" s="252">
        <f t="shared" si="193"/>
        <v>-732966.30000000901</v>
      </c>
      <c r="W669" s="255">
        <f t="shared" si="194"/>
        <v>-667.00000000000819</v>
      </c>
      <c r="X669" s="256" t="str">
        <f t="shared" si="198"/>
        <v/>
      </c>
      <c r="Y669" s="256" t="str">
        <f t="shared" si="199"/>
        <v/>
      </c>
      <c r="Z669" s="224" t="str">
        <f>IF(IFERROR(INDEX('tuot-rehukirjanpito'!I:I,MATCH(A669,'tuot-rehukirjanpito'!G:G,0)),)=0,"",INDEX('tuot-rehukirjanpito'!I:I,MATCH(A669,'tuot-rehukirjanpito'!G:G,0)))</f>
        <v/>
      </c>
      <c r="AA669" s="224">
        <f>SUMIFS('tuot-INFO'!$K$10:$K$115,'tuot-INFO'!$A$10:$A$115,'tuot-PVÄ'!B669)</f>
        <v>0</v>
      </c>
      <c r="AB669" s="224">
        <f>SUMIFS('rehu-vesi-INFO'!$R:$R,'rehu-vesi-INFO'!$A:$A,'tuot-PVÄ'!B669)</f>
        <v>1746</v>
      </c>
      <c r="AC669" s="224">
        <f>SUMIFS('rehu-vesi-INFO'!$S:$S,'rehu-vesi-INFO'!$A:$A,'tuot-PVÄ'!B669)</f>
        <v>1853</v>
      </c>
      <c r="AD669" s="224">
        <f t="shared" si="184"/>
        <v>107</v>
      </c>
      <c r="AE669" s="224">
        <f t="shared" si="185"/>
        <v>0</v>
      </c>
      <c r="AF669" s="224">
        <f t="shared" si="186"/>
        <v>174.6</v>
      </c>
      <c r="AG669" s="224">
        <f t="shared" si="187"/>
        <v>10.7</v>
      </c>
      <c r="AH669" s="257">
        <f t="shared" si="189"/>
        <v>0</v>
      </c>
      <c r="AI669" s="258">
        <f t="shared" si="190"/>
        <v>0</v>
      </c>
      <c r="AJ669" s="55">
        <f>SUMIFS('tuot-INFO'!W:W,'tuot-INFO'!$A:$A,'tuot-PVÄ'!B669)</f>
        <v>0</v>
      </c>
      <c r="AK669" s="55">
        <f>SUMIFS('tuot-INFO'!X:X,'tuot-INFO'!$A:$A,'tuot-PVÄ'!B669)</f>
        <v>0</v>
      </c>
    </row>
    <row r="670" spans="1:37" x14ac:dyDescent="0.25">
      <c r="A670" s="169">
        <f t="shared" si="188"/>
        <v>43156</v>
      </c>
      <c r="B670" s="23">
        <f>ROUNDUP((A670-Yleistiedot!$B$4)/7,0)</f>
        <v>113</v>
      </c>
      <c r="C670" s="16"/>
      <c r="D670" s="25"/>
      <c r="E670" s="25"/>
      <c r="F670" s="25"/>
      <c r="G670" s="25"/>
      <c r="H670" s="25"/>
      <c r="I670" s="65">
        <f t="shared" si="183"/>
        <v>0</v>
      </c>
      <c r="J670" s="26"/>
      <c r="K670" s="25"/>
      <c r="L670" s="16"/>
      <c r="M670" s="16"/>
      <c r="N670" s="25"/>
      <c r="O670" s="30"/>
      <c r="P670" s="252">
        <f t="shared" si="195"/>
        <v>9990</v>
      </c>
      <c r="Q670" s="253">
        <f t="shared" si="196"/>
        <v>0</v>
      </c>
      <c r="R670" s="253">
        <f t="shared" si="197"/>
        <v>0</v>
      </c>
      <c r="S670" s="251">
        <f>SUMIFS('tuot-rehukirjanpito'!D:D,'tuot-rehukirjanpito'!A:A,A670)</f>
        <v>0</v>
      </c>
      <c r="T670" s="254">
        <f t="shared" si="191"/>
        <v>1098.9000000000001</v>
      </c>
      <c r="U670" s="254">
        <f t="shared" si="192"/>
        <v>1098.8999999999999</v>
      </c>
      <c r="V670" s="252">
        <f t="shared" si="193"/>
        <v>-734065.20000000903</v>
      </c>
      <c r="W670" s="255">
        <f t="shared" si="194"/>
        <v>-668.00000000000819</v>
      </c>
      <c r="X670" s="256" t="str">
        <f t="shared" si="198"/>
        <v/>
      </c>
      <c r="Y670" s="256" t="str">
        <f t="shared" si="199"/>
        <v/>
      </c>
      <c r="Z670" s="224" t="str">
        <f>IF(IFERROR(INDEX('tuot-rehukirjanpito'!I:I,MATCH(A670,'tuot-rehukirjanpito'!G:G,0)),)=0,"",INDEX('tuot-rehukirjanpito'!I:I,MATCH(A670,'tuot-rehukirjanpito'!G:G,0)))</f>
        <v/>
      </c>
      <c r="AA670" s="224">
        <f>SUMIFS('tuot-INFO'!$K$10:$K$115,'tuot-INFO'!$A$10:$A$115,'tuot-PVÄ'!B670)</f>
        <v>0</v>
      </c>
      <c r="AB670" s="224">
        <f>SUMIFS('rehu-vesi-INFO'!$R:$R,'rehu-vesi-INFO'!$A:$A,'tuot-PVÄ'!B670)</f>
        <v>1746</v>
      </c>
      <c r="AC670" s="224">
        <f>SUMIFS('rehu-vesi-INFO'!$S:$S,'rehu-vesi-INFO'!$A:$A,'tuot-PVÄ'!B670)</f>
        <v>1853</v>
      </c>
      <c r="AD670" s="224">
        <f t="shared" si="184"/>
        <v>107</v>
      </c>
      <c r="AE670" s="224">
        <f t="shared" si="185"/>
        <v>0</v>
      </c>
      <c r="AF670" s="224">
        <f t="shared" si="186"/>
        <v>174.6</v>
      </c>
      <c r="AG670" s="224">
        <f t="shared" si="187"/>
        <v>10.7</v>
      </c>
      <c r="AH670" s="257">
        <f t="shared" si="189"/>
        <v>0</v>
      </c>
      <c r="AI670" s="258">
        <f t="shared" si="190"/>
        <v>0</v>
      </c>
      <c r="AJ670" s="55">
        <f>SUMIFS('tuot-INFO'!W:W,'tuot-INFO'!$A:$A,'tuot-PVÄ'!B670)</f>
        <v>0</v>
      </c>
      <c r="AK670" s="55">
        <f>SUMIFS('tuot-INFO'!X:X,'tuot-INFO'!$A:$A,'tuot-PVÄ'!B670)</f>
        <v>0</v>
      </c>
    </row>
    <row r="671" spans="1:37" x14ac:dyDescent="0.25">
      <c r="A671" s="169">
        <f t="shared" si="188"/>
        <v>43157</v>
      </c>
      <c r="B671" s="23">
        <f>ROUNDUP((A671-Yleistiedot!$B$4)/7,0)</f>
        <v>113</v>
      </c>
      <c r="C671" s="16"/>
      <c r="D671" s="25"/>
      <c r="E671" s="25"/>
      <c r="F671" s="25"/>
      <c r="G671" s="25"/>
      <c r="H671" s="25"/>
      <c r="I671" s="65">
        <f t="shared" si="183"/>
        <v>0</v>
      </c>
      <c r="J671" s="26"/>
      <c r="K671" s="25"/>
      <c r="L671" s="16"/>
      <c r="M671" s="16"/>
      <c r="N671" s="25"/>
      <c r="O671" s="30"/>
      <c r="P671" s="252">
        <f t="shared" si="195"/>
        <v>9990</v>
      </c>
      <c r="Q671" s="253">
        <f t="shared" si="196"/>
        <v>0</v>
      </c>
      <c r="R671" s="253">
        <f t="shared" si="197"/>
        <v>0</v>
      </c>
      <c r="S671" s="251">
        <f>SUMIFS('tuot-rehukirjanpito'!D:D,'tuot-rehukirjanpito'!A:A,A671)</f>
        <v>0</v>
      </c>
      <c r="T671" s="254">
        <f t="shared" si="191"/>
        <v>1098.9000000000001</v>
      </c>
      <c r="U671" s="254">
        <f t="shared" si="192"/>
        <v>1098.8999999999999</v>
      </c>
      <c r="V671" s="252">
        <f t="shared" si="193"/>
        <v>-735164.10000000906</v>
      </c>
      <c r="W671" s="255">
        <f t="shared" si="194"/>
        <v>-669.00000000000819</v>
      </c>
      <c r="X671" s="256" t="str">
        <f t="shared" si="198"/>
        <v/>
      </c>
      <c r="Y671" s="256" t="str">
        <f t="shared" si="199"/>
        <v/>
      </c>
      <c r="Z671" s="224" t="str">
        <f>IF(IFERROR(INDEX('tuot-rehukirjanpito'!I:I,MATCH(A671,'tuot-rehukirjanpito'!G:G,0)),)=0,"",INDEX('tuot-rehukirjanpito'!I:I,MATCH(A671,'tuot-rehukirjanpito'!G:G,0)))</f>
        <v/>
      </c>
      <c r="AA671" s="224">
        <f>SUMIFS('tuot-INFO'!$K$10:$K$115,'tuot-INFO'!$A$10:$A$115,'tuot-PVÄ'!B671)</f>
        <v>0</v>
      </c>
      <c r="AB671" s="224">
        <f>SUMIFS('rehu-vesi-INFO'!$R:$R,'rehu-vesi-INFO'!$A:$A,'tuot-PVÄ'!B671)</f>
        <v>1746</v>
      </c>
      <c r="AC671" s="224">
        <f>SUMIFS('rehu-vesi-INFO'!$S:$S,'rehu-vesi-INFO'!$A:$A,'tuot-PVÄ'!B671)</f>
        <v>1853</v>
      </c>
      <c r="AD671" s="224">
        <f t="shared" si="184"/>
        <v>107</v>
      </c>
      <c r="AE671" s="224">
        <f t="shared" si="185"/>
        <v>0</v>
      </c>
      <c r="AF671" s="224">
        <f t="shared" si="186"/>
        <v>174.6</v>
      </c>
      <c r="AG671" s="224">
        <f t="shared" si="187"/>
        <v>10.7</v>
      </c>
      <c r="AH671" s="257">
        <f t="shared" si="189"/>
        <v>0</v>
      </c>
      <c r="AI671" s="258">
        <f t="shared" si="190"/>
        <v>0</v>
      </c>
      <c r="AJ671" s="55">
        <f>SUMIFS('tuot-INFO'!W:W,'tuot-INFO'!$A:$A,'tuot-PVÄ'!B671)</f>
        <v>0</v>
      </c>
      <c r="AK671" s="55">
        <f>SUMIFS('tuot-INFO'!X:X,'tuot-INFO'!$A:$A,'tuot-PVÄ'!B671)</f>
        <v>0</v>
      </c>
    </row>
    <row r="672" spans="1:37" x14ac:dyDescent="0.25">
      <c r="A672" s="169">
        <f t="shared" si="188"/>
        <v>43158</v>
      </c>
      <c r="B672" s="23">
        <f>ROUNDUP((A672-Yleistiedot!$B$4)/7,0)</f>
        <v>113</v>
      </c>
      <c r="C672" s="16"/>
      <c r="D672" s="25"/>
      <c r="E672" s="25"/>
      <c r="F672" s="25"/>
      <c r="G672" s="25"/>
      <c r="H672" s="25"/>
      <c r="I672" s="65">
        <f t="shared" si="183"/>
        <v>0</v>
      </c>
      <c r="J672" s="26"/>
      <c r="K672" s="25"/>
      <c r="L672" s="16"/>
      <c r="M672" s="16"/>
      <c r="N672" s="25"/>
      <c r="O672" s="30"/>
      <c r="P672" s="252">
        <f t="shared" si="195"/>
        <v>9990</v>
      </c>
      <c r="Q672" s="253">
        <f t="shared" si="196"/>
        <v>0</v>
      </c>
      <c r="R672" s="253">
        <f t="shared" si="197"/>
        <v>0</v>
      </c>
      <c r="S672" s="251">
        <f>SUMIFS('tuot-rehukirjanpito'!D:D,'tuot-rehukirjanpito'!A:A,A672)</f>
        <v>0</v>
      </c>
      <c r="T672" s="254">
        <f t="shared" si="191"/>
        <v>1098.9000000000001</v>
      </c>
      <c r="U672" s="254">
        <f t="shared" si="192"/>
        <v>1098.8999999999999</v>
      </c>
      <c r="V672" s="252">
        <f t="shared" si="193"/>
        <v>-736263.00000000908</v>
      </c>
      <c r="W672" s="255">
        <f t="shared" si="194"/>
        <v>-670.00000000000819</v>
      </c>
      <c r="X672" s="256" t="str">
        <f t="shared" si="198"/>
        <v/>
      </c>
      <c r="Y672" s="256" t="str">
        <f t="shared" si="199"/>
        <v/>
      </c>
      <c r="Z672" s="224" t="str">
        <f>IF(IFERROR(INDEX('tuot-rehukirjanpito'!I:I,MATCH(A672,'tuot-rehukirjanpito'!G:G,0)),)=0,"",INDEX('tuot-rehukirjanpito'!I:I,MATCH(A672,'tuot-rehukirjanpito'!G:G,0)))</f>
        <v/>
      </c>
      <c r="AA672" s="224">
        <f>SUMIFS('tuot-INFO'!$K$10:$K$115,'tuot-INFO'!$A$10:$A$115,'tuot-PVÄ'!B672)</f>
        <v>0</v>
      </c>
      <c r="AB672" s="224">
        <f>SUMIFS('rehu-vesi-INFO'!$R:$R,'rehu-vesi-INFO'!$A:$A,'tuot-PVÄ'!B672)</f>
        <v>1746</v>
      </c>
      <c r="AC672" s="224">
        <f>SUMIFS('rehu-vesi-INFO'!$S:$S,'rehu-vesi-INFO'!$A:$A,'tuot-PVÄ'!B672)</f>
        <v>1853</v>
      </c>
      <c r="AD672" s="224">
        <f t="shared" si="184"/>
        <v>107</v>
      </c>
      <c r="AE672" s="224">
        <f t="shared" si="185"/>
        <v>0</v>
      </c>
      <c r="AF672" s="224">
        <f t="shared" si="186"/>
        <v>174.6</v>
      </c>
      <c r="AG672" s="224">
        <f t="shared" si="187"/>
        <v>10.7</v>
      </c>
      <c r="AH672" s="257">
        <f t="shared" si="189"/>
        <v>0</v>
      </c>
      <c r="AI672" s="258">
        <f t="shared" si="190"/>
        <v>0</v>
      </c>
      <c r="AJ672" s="55">
        <f>SUMIFS('tuot-INFO'!W:W,'tuot-INFO'!$A:$A,'tuot-PVÄ'!B672)</f>
        <v>0</v>
      </c>
      <c r="AK672" s="55">
        <f>SUMIFS('tuot-INFO'!X:X,'tuot-INFO'!$A:$A,'tuot-PVÄ'!B672)</f>
        <v>0</v>
      </c>
    </row>
    <row r="673" spans="1:37" x14ac:dyDescent="0.25">
      <c r="A673" s="169">
        <f t="shared" si="188"/>
        <v>43159</v>
      </c>
      <c r="B673" s="23">
        <f>ROUNDUP((A673-Yleistiedot!$B$4)/7,0)</f>
        <v>113</v>
      </c>
      <c r="C673" s="16"/>
      <c r="D673" s="25"/>
      <c r="E673" s="25"/>
      <c r="F673" s="25"/>
      <c r="G673" s="25"/>
      <c r="H673" s="25"/>
      <c r="I673" s="65">
        <f t="shared" si="183"/>
        <v>0</v>
      </c>
      <c r="J673" s="26"/>
      <c r="K673" s="25"/>
      <c r="L673" s="16"/>
      <c r="M673" s="16"/>
      <c r="N673" s="25"/>
      <c r="O673" s="30"/>
      <c r="P673" s="252">
        <f t="shared" si="195"/>
        <v>9990</v>
      </c>
      <c r="Q673" s="253">
        <f t="shared" si="196"/>
        <v>0</v>
      </c>
      <c r="R673" s="253">
        <f t="shared" si="197"/>
        <v>0</v>
      </c>
      <c r="S673" s="251">
        <f>SUMIFS('tuot-rehukirjanpito'!D:D,'tuot-rehukirjanpito'!A:A,A673)</f>
        <v>0</v>
      </c>
      <c r="T673" s="254">
        <f t="shared" si="191"/>
        <v>1098.9000000000001</v>
      </c>
      <c r="U673" s="254">
        <f t="shared" si="192"/>
        <v>1098.8999999999999</v>
      </c>
      <c r="V673" s="252">
        <f t="shared" si="193"/>
        <v>-737361.9000000091</v>
      </c>
      <c r="W673" s="255">
        <f t="shared" si="194"/>
        <v>-671.00000000000819</v>
      </c>
      <c r="X673" s="256" t="str">
        <f t="shared" si="198"/>
        <v/>
      </c>
      <c r="Y673" s="256" t="str">
        <f t="shared" si="199"/>
        <v/>
      </c>
      <c r="Z673" s="224" t="str">
        <f>IF(IFERROR(INDEX('tuot-rehukirjanpito'!I:I,MATCH(A673,'tuot-rehukirjanpito'!G:G,0)),)=0,"",INDEX('tuot-rehukirjanpito'!I:I,MATCH(A673,'tuot-rehukirjanpito'!G:G,0)))</f>
        <v/>
      </c>
      <c r="AA673" s="224">
        <f>SUMIFS('tuot-INFO'!$K$10:$K$115,'tuot-INFO'!$A$10:$A$115,'tuot-PVÄ'!B673)</f>
        <v>0</v>
      </c>
      <c r="AB673" s="224">
        <f>SUMIFS('rehu-vesi-INFO'!$R:$R,'rehu-vesi-INFO'!$A:$A,'tuot-PVÄ'!B673)</f>
        <v>1746</v>
      </c>
      <c r="AC673" s="224">
        <f>SUMIFS('rehu-vesi-INFO'!$S:$S,'rehu-vesi-INFO'!$A:$A,'tuot-PVÄ'!B673)</f>
        <v>1853</v>
      </c>
      <c r="AD673" s="224">
        <f t="shared" si="184"/>
        <v>107</v>
      </c>
      <c r="AE673" s="224">
        <f t="shared" si="185"/>
        <v>0</v>
      </c>
      <c r="AF673" s="224">
        <f t="shared" si="186"/>
        <v>174.6</v>
      </c>
      <c r="AG673" s="224">
        <f t="shared" si="187"/>
        <v>10.7</v>
      </c>
      <c r="AH673" s="257">
        <f t="shared" si="189"/>
        <v>0</v>
      </c>
      <c r="AI673" s="258">
        <f t="shared" si="190"/>
        <v>0</v>
      </c>
      <c r="AJ673" s="55">
        <f>SUMIFS('tuot-INFO'!W:W,'tuot-INFO'!$A:$A,'tuot-PVÄ'!B673)</f>
        <v>0</v>
      </c>
      <c r="AK673" s="55">
        <f>SUMIFS('tuot-INFO'!X:X,'tuot-INFO'!$A:$A,'tuot-PVÄ'!B673)</f>
        <v>0</v>
      </c>
    </row>
    <row r="674" spans="1:37" x14ac:dyDescent="0.25">
      <c r="A674" s="169">
        <f t="shared" si="188"/>
        <v>43160</v>
      </c>
      <c r="B674" s="23">
        <f>ROUNDUP((A674-Yleistiedot!$B$4)/7,0)</f>
        <v>113</v>
      </c>
      <c r="C674" s="16"/>
      <c r="D674" s="25"/>
      <c r="E674" s="25"/>
      <c r="F674" s="25"/>
      <c r="G674" s="25"/>
      <c r="H674" s="25"/>
      <c r="I674" s="65">
        <f t="shared" si="183"/>
        <v>0</v>
      </c>
      <c r="J674" s="26"/>
      <c r="K674" s="25"/>
      <c r="L674" s="16"/>
      <c r="M674" s="16"/>
      <c r="N674" s="25"/>
      <c r="O674" s="30"/>
      <c r="P674" s="252">
        <f t="shared" si="195"/>
        <v>9990</v>
      </c>
      <c r="Q674" s="253">
        <f t="shared" si="196"/>
        <v>0</v>
      </c>
      <c r="R674" s="253">
        <f t="shared" si="197"/>
        <v>0</v>
      </c>
      <c r="S674" s="251">
        <f>SUMIFS('tuot-rehukirjanpito'!D:D,'tuot-rehukirjanpito'!A:A,A674)</f>
        <v>0</v>
      </c>
      <c r="T674" s="254">
        <f t="shared" si="191"/>
        <v>1098.9000000000001</v>
      </c>
      <c r="U674" s="254">
        <f t="shared" si="192"/>
        <v>1098.8999999999999</v>
      </c>
      <c r="V674" s="252">
        <f t="shared" si="193"/>
        <v>-738460.80000000913</v>
      </c>
      <c r="W674" s="255">
        <f t="shared" si="194"/>
        <v>-672.0000000000083</v>
      </c>
      <c r="X674" s="256" t="str">
        <f t="shared" si="198"/>
        <v/>
      </c>
      <c r="Y674" s="256" t="str">
        <f t="shared" si="199"/>
        <v/>
      </c>
      <c r="Z674" s="224" t="str">
        <f>IF(IFERROR(INDEX('tuot-rehukirjanpito'!I:I,MATCH(A674,'tuot-rehukirjanpito'!G:G,0)),)=0,"",INDEX('tuot-rehukirjanpito'!I:I,MATCH(A674,'tuot-rehukirjanpito'!G:G,0)))</f>
        <v/>
      </c>
      <c r="AA674" s="224">
        <f>SUMIFS('tuot-INFO'!$K$10:$K$115,'tuot-INFO'!$A$10:$A$115,'tuot-PVÄ'!B674)</f>
        <v>0</v>
      </c>
      <c r="AB674" s="224">
        <f>SUMIFS('rehu-vesi-INFO'!$R:$R,'rehu-vesi-INFO'!$A:$A,'tuot-PVÄ'!B674)</f>
        <v>1746</v>
      </c>
      <c r="AC674" s="224">
        <f>SUMIFS('rehu-vesi-INFO'!$S:$S,'rehu-vesi-INFO'!$A:$A,'tuot-PVÄ'!B674)</f>
        <v>1853</v>
      </c>
      <c r="AD674" s="224">
        <f t="shared" si="184"/>
        <v>107</v>
      </c>
      <c r="AE674" s="224">
        <f t="shared" si="185"/>
        <v>0</v>
      </c>
      <c r="AF674" s="224">
        <f t="shared" si="186"/>
        <v>174.6</v>
      </c>
      <c r="AG674" s="224">
        <f t="shared" si="187"/>
        <v>10.7</v>
      </c>
      <c r="AH674" s="257">
        <f t="shared" si="189"/>
        <v>0</v>
      </c>
      <c r="AI674" s="258">
        <f t="shared" si="190"/>
        <v>0</v>
      </c>
      <c r="AJ674" s="55">
        <f>SUMIFS('tuot-INFO'!W:W,'tuot-INFO'!$A:$A,'tuot-PVÄ'!B674)</f>
        <v>0</v>
      </c>
      <c r="AK674" s="55">
        <f>SUMIFS('tuot-INFO'!X:X,'tuot-INFO'!$A:$A,'tuot-PVÄ'!B674)</f>
        <v>0</v>
      </c>
    </row>
    <row r="675" spans="1:37" x14ac:dyDescent="0.25">
      <c r="A675" s="169">
        <f t="shared" si="188"/>
        <v>43161</v>
      </c>
      <c r="B675" s="23">
        <f>ROUNDUP((A675-Yleistiedot!$B$4)/7,0)</f>
        <v>113</v>
      </c>
      <c r="C675" s="16"/>
      <c r="D675" s="25"/>
      <c r="E675" s="25"/>
      <c r="F675" s="25"/>
      <c r="G675" s="25"/>
      <c r="H675" s="25"/>
      <c r="I675" s="65">
        <f t="shared" si="183"/>
        <v>0</v>
      </c>
      <c r="J675" s="26"/>
      <c r="K675" s="25"/>
      <c r="L675" s="16"/>
      <c r="M675" s="16"/>
      <c r="N675" s="25"/>
      <c r="O675" s="30"/>
      <c r="P675" s="252">
        <f t="shared" si="195"/>
        <v>9990</v>
      </c>
      <c r="Q675" s="253">
        <f t="shared" si="196"/>
        <v>0</v>
      </c>
      <c r="R675" s="253">
        <f t="shared" si="197"/>
        <v>0</v>
      </c>
      <c r="S675" s="251">
        <f>SUMIFS('tuot-rehukirjanpito'!D:D,'tuot-rehukirjanpito'!A:A,A675)</f>
        <v>0</v>
      </c>
      <c r="T675" s="254">
        <f t="shared" si="191"/>
        <v>1098.9000000000001</v>
      </c>
      <c r="U675" s="254">
        <f t="shared" si="192"/>
        <v>1098.8999999999999</v>
      </c>
      <c r="V675" s="252">
        <f t="shared" si="193"/>
        <v>-739559.70000000915</v>
      </c>
      <c r="W675" s="255">
        <f t="shared" si="194"/>
        <v>-673.0000000000083</v>
      </c>
      <c r="X675" s="256" t="str">
        <f t="shared" si="198"/>
        <v/>
      </c>
      <c r="Y675" s="256" t="str">
        <f t="shared" si="199"/>
        <v/>
      </c>
      <c r="Z675" s="224" t="str">
        <f>IF(IFERROR(INDEX('tuot-rehukirjanpito'!I:I,MATCH(A675,'tuot-rehukirjanpito'!G:G,0)),)=0,"",INDEX('tuot-rehukirjanpito'!I:I,MATCH(A675,'tuot-rehukirjanpito'!G:G,0)))</f>
        <v/>
      </c>
      <c r="AA675" s="224">
        <f>SUMIFS('tuot-INFO'!$K$10:$K$115,'tuot-INFO'!$A$10:$A$115,'tuot-PVÄ'!B675)</f>
        <v>0</v>
      </c>
      <c r="AB675" s="224">
        <f>SUMIFS('rehu-vesi-INFO'!$R:$R,'rehu-vesi-INFO'!$A:$A,'tuot-PVÄ'!B675)</f>
        <v>1746</v>
      </c>
      <c r="AC675" s="224">
        <f>SUMIFS('rehu-vesi-INFO'!$S:$S,'rehu-vesi-INFO'!$A:$A,'tuot-PVÄ'!B675)</f>
        <v>1853</v>
      </c>
      <c r="AD675" s="224">
        <f t="shared" si="184"/>
        <v>107</v>
      </c>
      <c r="AE675" s="224">
        <f t="shared" si="185"/>
        <v>0</v>
      </c>
      <c r="AF675" s="224">
        <f t="shared" si="186"/>
        <v>174.6</v>
      </c>
      <c r="AG675" s="224">
        <f t="shared" si="187"/>
        <v>10.7</v>
      </c>
      <c r="AH675" s="257">
        <f t="shared" si="189"/>
        <v>0</v>
      </c>
      <c r="AI675" s="258">
        <f t="shared" si="190"/>
        <v>0</v>
      </c>
      <c r="AJ675" s="55">
        <f>SUMIFS('tuot-INFO'!W:W,'tuot-INFO'!$A:$A,'tuot-PVÄ'!B675)</f>
        <v>0</v>
      </c>
      <c r="AK675" s="55">
        <f>SUMIFS('tuot-INFO'!X:X,'tuot-INFO'!$A:$A,'tuot-PVÄ'!B675)</f>
        <v>0</v>
      </c>
    </row>
    <row r="676" spans="1:37" x14ac:dyDescent="0.25">
      <c r="A676" s="169">
        <f t="shared" si="188"/>
        <v>43162</v>
      </c>
      <c r="B676" s="23">
        <f>ROUNDUP((A676-Yleistiedot!$B$4)/7,0)</f>
        <v>114</v>
      </c>
      <c r="C676" s="16"/>
      <c r="D676" s="25"/>
      <c r="E676" s="25"/>
      <c r="F676" s="25"/>
      <c r="G676" s="25"/>
      <c r="H676" s="25"/>
      <c r="I676" s="65">
        <f t="shared" si="183"/>
        <v>0</v>
      </c>
      <c r="J676" s="26"/>
      <c r="K676" s="25"/>
      <c r="L676" s="16"/>
      <c r="M676" s="16"/>
      <c r="N676" s="25"/>
      <c r="O676" s="30"/>
      <c r="P676" s="252">
        <f t="shared" si="195"/>
        <v>9990</v>
      </c>
      <c r="Q676" s="253">
        <f t="shared" si="196"/>
        <v>0</v>
      </c>
      <c r="R676" s="253">
        <f t="shared" si="197"/>
        <v>0</v>
      </c>
      <c r="S676" s="251">
        <f>SUMIFS('tuot-rehukirjanpito'!D:D,'tuot-rehukirjanpito'!A:A,A676)</f>
        <v>0</v>
      </c>
      <c r="T676" s="254">
        <f t="shared" si="191"/>
        <v>1098.9000000000001</v>
      </c>
      <c r="U676" s="254">
        <f t="shared" si="192"/>
        <v>1098.8999999999999</v>
      </c>
      <c r="V676" s="252">
        <f t="shared" si="193"/>
        <v>-740658.60000000917</v>
      </c>
      <c r="W676" s="255">
        <f t="shared" si="194"/>
        <v>-674.0000000000083</v>
      </c>
      <c r="X676" s="256" t="str">
        <f t="shared" si="198"/>
        <v/>
      </c>
      <c r="Y676" s="256" t="str">
        <f t="shared" si="199"/>
        <v/>
      </c>
      <c r="Z676" s="224" t="str">
        <f>IF(IFERROR(INDEX('tuot-rehukirjanpito'!I:I,MATCH(A676,'tuot-rehukirjanpito'!G:G,0)),)=0,"",INDEX('tuot-rehukirjanpito'!I:I,MATCH(A676,'tuot-rehukirjanpito'!G:G,0)))</f>
        <v/>
      </c>
      <c r="AA676" s="224">
        <f>SUMIFS('tuot-INFO'!$K$10:$K$115,'tuot-INFO'!$A$10:$A$115,'tuot-PVÄ'!B676)</f>
        <v>0</v>
      </c>
      <c r="AB676" s="224">
        <f>SUMIFS('rehu-vesi-INFO'!$R:$R,'rehu-vesi-INFO'!$A:$A,'tuot-PVÄ'!B676)</f>
        <v>1746</v>
      </c>
      <c r="AC676" s="224">
        <f>SUMIFS('rehu-vesi-INFO'!$S:$S,'rehu-vesi-INFO'!$A:$A,'tuot-PVÄ'!B676)</f>
        <v>1853</v>
      </c>
      <c r="AD676" s="224">
        <f t="shared" si="184"/>
        <v>107</v>
      </c>
      <c r="AE676" s="224">
        <f t="shared" si="185"/>
        <v>0</v>
      </c>
      <c r="AF676" s="224">
        <f t="shared" si="186"/>
        <v>174.6</v>
      </c>
      <c r="AG676" s="224">
        <f t="shared" si="187"/>
        <v>10.7</v>
      </c>
      <c r="AH676" s="257">
        <f t="shared" si="189"/>
        <v>0</v>
      </c>
      <c r="AI676" s="258">
        <f t="shared" si="190"/>
        <v>0</v>
      </c>
      <c r="AJ676" s="55">
        <f>SUMIFS('tuot-INFO'!W:W,'tuot-INFO'!$A:$A,'tuot-PVÄ'!B676)</f>
        <v>0</v>
      </c>
      <c r="AK676" s="55">
        <f>SUMIFS('tuot-INFO'!X:X,'tuot-INFO'!$A:$A,'tuot-PVÄ'!B676)</f>
        <v>0</v>
      </c>
    </row>
    <row r="677" spans="1:37" x14ac:dyDescent="0.25">
      <c r="A677" s="169">
        <f t="shared" si="188"/>
        <v>43163</v>
      </c>
      <c r="B677" s="23">
        <f>ROUNDUP((A677-Yleistiedot!$B$4)/7,0)</f>
        <v>114</v>
      </c>
      <c r="C677" s="16"/>
      <c r="D677" s="25"/>
      <c r="E677" s="25"/>
      <c r="F677" s="25"/>
      <c r="G677" s="25"/>
      <c r="H677" s="25"/>
      <c r="I677" s="65">
        <f t="shared" si="183"/>
        <v>0</v>
      </c>
      <c r="J677" s="26"/>
      <c r="K677" s="25"/>
      <c r="L677" s="16"/>
      <c r="M677" s="16"/>
      <c r="N677" s="25"/>
      <c r="O677" s="30"/>
      <c r="P677" s="252">
        <f t="shared" si="195"/>
        <v>9990</v>
      </c>
      <c r="Q677" s="253">
        <f t="shared" si="196"/>
        <v>0</v>
      </c>
      <c r="R677" s="253">
        <f t="shared" si="197"/>
        <v>0</v>
      </c>
      <c r="S677" s="251">
        <f>SUMIFS('tuot-rehukirjanpito'!D:D,'tuot-rehukirjanpito'!A:A,A677)</f>
        <v>0</v>
      </c>
      <c r="T677" s="254">
        <f t="shared" si="191"/>
        <v>1098.9000000000001</v>
      </c>
      <c r="U677" s="254">
        <f t="shared" si="192"/>
        <v>1098.8999999999999</v>
      </c>
      <c r="V677" s="252">
        <f t="shared" si="193"/>
        <v>-741757.5000000092</v>
      </c>
      <c r="W677" s="255">
        <f t="shared" si="194"/>
        <v>-675.0000000000083</v>
      </c>
      <c r="X677" s="256" t="str">
        <f t="shared" si="198"/>
        <v/>
      </c>
      <c r="Y677" s="256" t="str">
        <f t="shared" si="199"/>
        <v/>
      </c>
      <c r="Z677" s="224" t="str">
        <f>IF(IFERROR(INDEX('tuot-rehukirjanpito'!I:I,MATCH(A677,'tuot-rehukirjanpito'!G:G,0)),)=0,"",INDEX('tuot-rehukirjanpito'!I:I,MATCH(A677,'tuot-rehukirjanpito'!G:G,0)))</f>
        <v/>
      </c>
      <c r="AA677" s="224">
        <f>SUMIFS('tuot-INFO'!$K$10:$K$115,'tuot-INFO'!$A$10:$A$115,'tuot-PVÄ'!B677)</f>
        <v>0</v>
      </c>
      <c r="AB677" s="224">
        <f>SUMIFS('rehu-vesi-INFO'!$R:$R,'rehu-vesi-INFO'!$A:$A,'tuot-PVÄ'!B677)</f>
        <v>1746</v>
      </c>
      <c r="AC677" s="224">
        <f>SUMIFS('rehu-vesi-INFO'!$S:$S,'rehu-vesi-INFO'!$A:$A,'tuot-PVÄ'!B677)</f>
        <v>1853</v>
      </c>
      <c r="AD677" s="224">
        <f t="shared" si="184"/>
        <v>107</v>
      </c>
      <c r="AE677" s="224">
        <f t="shared" si="185"/>
        <v>0</v>
      </c>
      <c r="AF677" s="224">
        <f t="shared" si="186"/>
        <v>174.6</v>
      </c>
      <c r="AG677" s="224">
        <f t="shared" si="187"/>
        <v>10.7</v>
      </c>
      <c r="AH677" s="257">
        <f t="shared" si="189"/>
        <v>0</v>
      </c>
      <c r="AI677" s="258">
        <f t="shared" si="190"/>
        <v>0</v>
      </c>
      <c r="AJ677" s="55">
        <f>SUMIFS('tuot-INFO'!W:W,'tuot-INFO'!$A:$A,'tuot-PVÄ'!B677)</f>
        <v>0</v>
      </c>
      <c r="AK677" s="55">
        <f>SUMIFS('tuot-INFO'!X:X,'tuot-INFO'!$A:$A,'tuot-PVÄ'!B677)</f>
        <v>0</v>
      </c>
    </row>
    <row r="678" spans="1:37" x14ac:dyDescent="0.25">
      <c r="A678" s="169">
        <f t="shared" si="188"/>
        <v>43164</v>
      </c>
      <c r="B678" s="23">
        <f>ROUNDUP((A678-Yleistiedot!$B$4)/7,0)</f>
        <v>114</v>
      </c>
      <c r="C678" s="16"/>
      <c r="D678" s="25"/>
      <c r="E678" s="25"/>
      <c r="F678" s="25"/>
      <c r="G678" s="25"/>
      <c r="H678" s="25"/>
      <c r="I678" s="65">
        <f t="shared" si="183"/>
        <v>0</v>
      </c>
      <c r="J678" s="26"/>
      <c r="K678" s="25"/>
      <c r="L678" s="16"/>
      <c r="M678" s="16"/>
      <c r="N678" s="25"/>
      <c r="O678" s="30"/>
      <c r="P678" s="252">
        <f t="shared" si="195"/>
        <v>9990</v>
      </c>
      <c r="Q678" s="253">
        <f t="shared" si="196"/>
        <v>0</v>
      </c>
      <c r="R678" s="253">
        <f t="shared" si="197"/>
        <v>0</v>
      </c>
      <c r="S678" s="251">
        <f>SUMIFS('tuot-rehukirjanpito'!D:D,'tuot-rehukirjanpito'!A:A,A678)</f>
        <v>0</v>
      </c>
      <c r="T678" s="254">
        <f t="shared" si="191"/>
        <v>1098.9000000000001</v>
      </c>
      <c r="U678" s="254">
        <f t="shared" si="192"/>
        <v>1098.8999999999999</v>
      </c>
      <c r="V678" s="252">
        <f t="shared" si="193"/>
        <v>-742856.40000000922</v>
      </c>
      <c r="W678" s="255">
        <f t="shared" si="194"/>
        <v>-676.0000000000083</v>
      </c>
      <c r="X678" s="256" t="str">
        <f t="shared" si="198"/>
        <v/>
      </c>
      <c r="Y678" s="256" t="str">
        <f t="shared" si="199"/>
        <v/>
      </c>
      <c r="Z678" s="224" t="str">
        <f>IF(IFERROR(INDEX('tuot-rehukirjanpito'!I:I,MATCH(A678,'tuot-rehukirjanpito'!G:G,0)),)=0,"",INDEX('tuot-rehukirjanpito'!I:I,MATCH(A678,'tuot-rehukirjanpito'!G:G,0)))</f>
        <v/>
      </c>
      <c r="AA678" s="224">
        <f>SUMIFS('tuot-INFO'!$K$10:$K$115,'tuot-INFO'!$A$10:$A$115,'tuot-PVÄ'!B678)</f>
        <v>0</v>
      </c>
      <c r="AB678" s="224">
        <f>SUMIFS('rehu-vesi-INFO'!$R:$R,'rehu-vesi-INFO'!$A:$A,'tuot-PVÄ'!B678)</f>
        <v>1746</v>
      </c>
      <c r="AC678" s="224">
        <f>SUMIFS('rehu-vesi-INFO'!$S:$S,'rehu-vesi-INFO'!$A:$A,'tuot-PVÄ'!B678)</f>
        <v>1853</v>
      </c>
      <c r="AD678" s="224">
        <f t="shared" si="184"/>
        <v>107</v>
      </c>
      <c r="AE678" s="224">
        <f t="shared" si="185"/>
        <v>0</v>
      </c>
      <c r="AF678" s="224">
        <f t="shared" si="186"/>
        <v>174.6</v>
      </c>
      <c r="AG678" s="224">
        <f t="shared" si="187"/>
        <v>10.7</v>
      </c>
      <c r="AH678" s="257">
        <f t="shared" si="189"/>
        <v>0</v>
      </c>
      <c r="AI678" s="258">
        <f t="shared" si="190"/>
        <v>0</v>
      </c>
      <c r="AJ678" s="55">
        <f>SUMIFS('tuot-INFO'!W:W,'tuot-INFO'!$A:$A,'tuot-PVÄ'!B678)</f>
        <v>0</v>
      </c>
      <c r="AK678" s="55">
        <f>SUMIFS('tuot-INFO'!X:X,'tuot-INFO'!$A:$A,'tuot-PVÄ'!B678)</f>
        <v>0</v>
      </c>
    </row>
    <row r="679" spans="1:37" x14ac:dyDescent="0.25">
      <c r="A679" s="169">
        <f t="shared" si="188"/>
        <v>43165</v>
      </c>
      <c r="B679" s="23">
        <f>ROUNDUP((A679-Yleistiedot!$B$4)/7,0)</f>
        <v>114</v>
      </c>
      <c r="C679" s="16"/>
      <c r="D679" s="25"/>
      <c r="E679" s="25"/>
      <c r="F679" s="25"/>
      <c r="G679" s="25"/>
      <c r="H679" s="25"/>
      <c r="I679" s="65">
        <f t="shared" si="183"/>
        <v>0</v>
      </c>
      <c r="J679" s="26"/>
      <c r="K679" s="25"/>
      <c r="L679" s="16"/>
      <c r="M679" s="16"/>
      <c r="N679" s="25"/>
      <c r="O679" s="30"/>
      <c r="P679" s="252">
        <f t="shared" si="195"/>
        <v>9990</v>
      </c>
      <c r="Q679" s="253">
        <f t="shared" si="196"/>
        <v>0</v>
      </c>
      <c r="R679" s="253">
        <f t="shared" si="197"/>
        <v>0</v>
      </c>
      <c r="S679" s="251">
        <f>SUMIFS('tuot-rehukirjanpito'!D:D,'tuot-rehukirjanpito'!A:A,A679)</f>
        <v>0</v>
      </c>
      <c r="T679" s="254">
        <f t="shared" si="191"/>
        <v>1098.9000000000001</v>
      </c>
      <c r="U679" s="254">
        <f t="shared" si="192"/>
        <v>1098.8999999999999</v>
      </c>
      <c r="V679" s="252">
        <f t="shared" si="193"/>
        <v>-743955.30000000924</v>
      </c>
      <c r="W679" s="255">
        <f t="shared" si="194"/>
        <v>-677.0000000000083</v>
      </c>
      <c r="X679" s="256" t="str">
        <f t="shared" si="198"/>
        <v/>
      </c>
      <c r="Y679" s="256" t="str">
        <f t="shared" si="199"/>
        <v/>
      </c>
      <c r="Z679" s="224" t="str">
        <f>IF(IFERROR(INDEX('tuot-rehukirjanpito'!I:I,MATCH(A679,'tuot-rehukirjanpito'!G:G,0)),)=0,"",INDEX('tuot-rehukirjanpito'!I:I,MATCH(A679,'tuot-rehukirjanpito'!G:G,0)))</f>
        <v/>
      </c>
      <c r="AA679" s="224">
        <f>SUMIFS('tuot-INFO'!$K$10:$K$115,'tuot-INFO'!$A$10:$A$115,'tuot-PVÄ'!B679)</f>
        <v>0</v>
      </c>
      <c r="AB679" s="224">
        <f>SUMIFS('rehu-vesi-INFO'!$R:$R,'rehu-vesi-INFO'!$A:$A,'tuot-PVÄ'!B679)</f>
        <v>1746</v>
      </c>
      <c r="AC679" s="224">
        <f>SUMIFS('rehu-vesi-INFO'!$S:$S,'rehu-vesi-INFO'!$A:$A,'tuot-PVÄ'!B679)</f>
        <v>1853</v>
      </c>
      <c r="AD679" s="224">
        <f t="shared" si="184"/>
        <v>107</v>
      </c>
      <c r="AE679" s="224">
        <f t="shared" si="185"/>
        <v>0</v>
      </c>
      <c r="AF679" s="224">
        <f t="shared" si="186"/>
        <v>174.6</v>
      </c>
      <c r="AG679" s="224">
        <f t="shared" si="187"/>
        <v>10.7</v>
      </c>
      <c r="AH679" s="257">
        <f t="shared" si="189"/>
        <v>0</v>
      </c>
      <c r="AI679" s="258">
        <f t="shared" si="190"/>
        <v>0</v>
      </c>
      <c r="AJ679" s="55">
        <f>SUMIFS('tuot-INFO'!W:W,'tuot-INFO'!$A:$A,'tuot-PVÄ'!B679)</f>
        <v>0</v>
      </c>
      <c r="AK679" s="55">
        <f>SUMIFS('tuot-INFO'!X:X,'tuot-INFO'!$A:$A,'tuot-PVÄ'!B679)</f>
        <v>0</v>
      </c>
    </row>
    <row r="680" spans="1:37" x14ac:dyDescent="0.25">
      <c r="A680" s="169">
        <f t="shared" si="188"/>
        <v>43166</v>
      </c>
      <c r="B680" s="23">
        <f>ROUNDUP((A680-Yleistiedot!$B$4)/7,0)</f>
        <v>114</v>
      </c>
      <c r="C680" s="16"/>
      <c r="D680" s="25"/>
      <c r="E680" s="25"/>
      <c r="F680" s="25"/>
      <c r="G680" s="25"/>
      <c r="H680" s="25"/>
      <c r="I680" s="65">
        <f t="shared" si="183"/>
        <v>0</v>
      </c>
      <c r="J680" s="26"/>
      <c r="K680" s="25"/>
      <c r="L680" s="16"/>
      <c r="M680" s="16"/>
      <c r="N680" s="25"/>
      <c r="O680" s="30"/>
      <c r="P680" s="252">
        <f t="shared" si="195"/>
        <v>9990</v>
      </c>
      <c r="Q680" s="253">
        <f t="shared" si="196"/>
        <v>0</v>
      </c>
      <c r="R680" s="253">
        <f t="shared" si="197"/>
        <v>0</v>
      </c>
      <c r="S680" s="251">
        <f>SUMIFS('tuot-rehukirjanpito'!D:D,'tuot-rehukirjanpito'!A:A,A680)</f>
        <v>0</v>
      </c>
      <c r="T680" s="254">
        <f t="shared" si="191"/>
        <v>1098.9000000000001</v>
      </c>
      <c r="U680" s="254">
        <f t="shared" si="192"/>
        <v>1098.8999999999999</v>
      </c>
      <c r="V680" s="252">
        <f t="shared" si="193"/>
        <v>-745054.20000000927</v>
      </c>
      <c r="W680" s="255">
        <f t="shared" si="194"/>
        <v>-678.00000000000841</v>
      </c>
      <c r="X680" s="256" t="str">
        <f t="shared" si="198"/>
        <v/>
      </c>
      <c r="Y680" s="256" t="str">
        <f t="shared" si="199"/>
        <v/>
      </c>
      <c r="Z680" s="224" t="str">
        <f>IF(IFERROR(INDEX('tuot-rehukirjanpito'!I:I,MATCH(A680,'tuot-rehukirjanpito'!G:G,0)),)=0,"",INDEX('tuot-rehukirjanpito'!I:I,MATCH(A680,'tuot-rehukirjanpito'!G:G,0)))</f>
        <v/>
      </c>
      <c r="AA680" s="224">
        <f>SUMIFS('tuot-INFO'!$K$10:$K$115,'tuot-INFO'!$A$10:$A$115,'tuot-PVÄ'!B680)</f>
        <v>0</v>
      </c>
      <c r="AB680" s="224">
        <f>SUMIFS('rehu-vesi-INFO'!$R:$R,'rehu-vesi-INFO'!$A:$A,'tuot-PVÄ'!B680)</f>
        <v>1746</v>
      </c>
      <c r="AC680" s="224">
        <f>SUMIFS('rehu-vesi-INFO'!$S:$S,'rehu-vesi-INFO'!$A:$A,'tuot-PVÄ'!B680)</f>
        <v>1853</v>
      </c>
      <c r="AD680" s="224">
        <f t="shared" si="184"/>
        <v>107</v>
      </c>
      <c r="AE680" s="224">
        <f t="shared" si="185"/>
        <v>0</v>
      </c>
      <c r="AF680" s="224">
        <f t="shared" si="186"/>
        <v>174.6</v>
      </c>
      <c r="AG680" s="224">
        <f t="shared" si="187"/>
        <v>10.7</v>
      </c>
      <c r="AH680" s="257">
        <f t="shared" si="189"/>
        <v>0</v>
      </c>
      <c r="AI680" s="258">
        <f t="shared" si="190"/>
        <v>0</v>
      </c>
      <c r="AJ680" s="55">
        <f>SUMIFS('tuot-INFO'!W:W,'tuot-INFO'!$A:$A,'tuot-PVÄ'!B680)</f>
        <v>0</v>
      </c>
      <c r="AK680" s="55">
        <f>SUMIFS('tuot-INFO'!X:X,'tuot-INFO'!$A:$A,'tuot-PVÄ'!B680)</f>
        <v>0</v>
      </c>
    </row>
    <row r="681" spans="1:37" x14ac:dyDescent="0.25">
      <c r="A681" s="169">
        <f t="shared" si="188"/>
        <v>43167</v>
      </c>
      <c r="B681" s="23">
        <f>ROUNDUP((A681-Yleistiedot!$B$4)/7,0)</f>
        <v>114</v>
      </c>
      <c r="C681" s="16"/>
      <c r="D681" s="25"/>
      <c r="E681" s="25"/>
      <c r="F681" s="25"/>
      <c r="G681" s="25"/>
      <c r="H681" s="25"/>
      <c r="I681" s="65">
        <f t="shared" si="183"/>
        <v>0</v>
      </c>
      <c r="J681" s="26"/>
      <c r="K681" s="25"/>
      <c r="L681" s="16"/>
      <c r="M681" s="16"/>
      <c r="N681" s="25"/>
      <c r="O681" s="30"/>
      <c r="P681" s="252">
        <f t="shared" si="195"/>
        <v>9990</v>
      </c>
      <c r="Q681" s="253">
        <f t="shared" si="196"/>
        <v>0</v>
      </c>
      <c r="R681" s="253">
        <f t="shared" si="197"/>
        <v>0</v>
      </c>
      <c r="S681" s="251">
        <f>SUMIFS('tuot-rehukirjanpito'!D:D,'tuot-rehukirjanpito'!A:A,A681)</f>
        <v>0</v>
      </c>
      <c r="T681" s="254">
        <f t="shared" si="191"/>
        <v>1098.9000000000001</v>
      </c>
      <c r="U681" s="254">
        <f t="shared" si="192"/>
        <v>1098.8999999999999</v>
      </c>
      <c r="V681" s="252">
        <f t="shared" si="193"/>
        <v>-746153.10000000929</v>
      </c>
      <c r="W681" s="255">
        <f t="shared" si="194"/>
        <v>-679.00000000000841</v>
      </c>
      <c r="X681" s="256" t="str">
        <f t="shared" si="198"/>
        <v/>
      </c>
      <c r="Y681" s="256" t="str">
        <f t="shared" si="199"/>
        <v/>
      </c>
      <c r="Z681" s="224" t="str">
        <f>IF(IFERROR(INDEX('tuot-rehukirjanpito'!I:I,MATCH(A681,'tuot-rehukirjanpito'!G:G,0)),)=0,"",INDEX('tuot-rehukirjanpito'!I:I,MATCH(A681,'tuot-rehukirjanpito'!G:G,0)))</f>
        <v/>
      </c>
      <c r="AA681" s="224">
        <f>SUMIFS('tuot-INFO'!$K$10:$K$115,'tuot-INFO'!$A$10:$A$115,'tuot-PVÄ'!B681)</f>
        <v>0</v>
      </c>
      <c r="AB681" s="224">
        <f>SUMIFS('rehu-vesi-INFO'!$R:$R,'rehu-vesi-INFO'!$A:$A,'tuot-PVÄ'!B681)</f>
        <v>1746</v>
      </c>
      <c r="AC681" s="224">
        <f>SUMIFS('rehu-vesi-INFO'!$S:$S,'rehu-vesi-INFO'!$A:$A,'tuot-PVÄ'!B681)</f>
        <v>1853</v>
      </c>
      <c r="AD681" s="224">
        <f t="shared" si="184"/>
        <v>107</v>
      </c>
      <c r="AE681" s="224">
        <f t="shared" si="185"/>
        <v>0</v>
      </c>
      <c r="AF681" s="224">
        <f t="shared" si="186"/>
        <v>174.6</v>
      </c>
      <c r="AG681" s="224">
        <f t="shared" si="187"/>
        <v>10.7</v>
      </c>
      <c r="AH681" s="257">
        <f t="shared" si="189"/>
        <v>0</v>
      </c>
      <c r="AI681" s="258">
        <f t="shared" si="190"/>
        <v>0</v>
      </c>
      <c r="AJ681" s="55">
        <f>SUMIFS('tuot-INFO'!W:W,'tuot-INFO'!$A:$A,'tuot-PVÄ'!B681)</f>
        <v>0</v>
      </c>
      <c r="AK681" s="55">
        <f>SUMIFS('tuot-INFO'!X:X,'tuot-INFO'!$A:$A,'tuot-PVÄ'!B681)</f>
        <v>0</v>
      </c>
    </row>
    <row r="682" spans="1:37" x14ac:dyDescent="0.25">
      <c r="A682" s="169">
        <f t="shared" si="188"/>
        <v>43168</v>
      </c>
      <c r="B682" s="23">
        <f>ROUNDUP((A682-Yleistiedot!$B$4)/7,0)</f>
        <v>114</v>
      </c>
      <c r="C682" s="16"/>
      <c r="D682" s="25"/>
      <c r="E682" s="25"/>
      <c r="F682" s="25"/>
      <c r="G682" s="25"/>
      <c r="H682" s="25"/>
      <c r="I682" s="65">
        <f t="shared" si="183"/>
        <v>0</v>
      </c>
      <c r="J682" s="26"/>
      <c r="K682" s="25"/>
      <c r="L682" s="16"/>
      <c r="M682" s="16"/>
      <c r="N682" s="25"/>
      <c r="O682" s="30"/>
      <c r="P682" s="252">
        <f t="shared" si="195"/>
        <v>9990</v>
      </c>
      <c r="Q682" s="253">
        <f t="shared" si="196"/>
        <v>0</v>
      </c>
      <c r="R682" s="253">
        <f t="shared" si="197"/>
        <v>0</v>
      </c>
      <c r="S682" s="251">
        <f>SUMIFS('tuot-rehukirjanpito'!D:D,'tuot-rehukirjanpito'!A:A,A682)</f>
        <v>0</v>
      </c>
      <c r="T682" s="254">
        <f t="shared" si="191"/>
        <v>1098.9000000000001</v>
      </c>
      <c r="U682" s="254">
        <f t="shared" si="192"/>
        <v>1098.8999999999999</v>
      </c>
      <c r="V682" s="252">
        <f t="shared" si="193"/>
        <v>-747252.00000000931</v>
      </c>
      <c r="W682" s="255">
        <f t="shared" si="194"/>
        <v>-680.00000000000841</v>
      </c>
      <c r="X682" s="256" t="str">
        <f t="shared" si="198"/>
        <v/>
      </c>
      <c r="Y682" s="256" t="str">
        <f t="shared" si="199"/>
        <v/>
      </c>
      <c r="Z682" s="224" t="str">
        <f>IF(IFERROR(INDEX('tuot-rehukirjanpito'!I:I,MATCH(A682,'tuot-rehukirjanpito'!G:G,0)),)=0,"",INDEX('tuot-rehukirjanpito'!I:I,MATCH(A682,'tuot-rehukirjanpito'!G:G,0)))</f>
        <v/>
      </c>
      <c r="AA682" s="224">
        <f>SUMIFS('tuot-INFO'!$K$10:$K$115,'tuot-INFO'!$A$10:$A$115,'tuot-PVÄ'!B682)</f>
        <v>0</v>
      </c>
      <c r="AB682" s="224">
        <f>SUMIFS('rehu-vesi-INFO'!$R:$R,'rehu-vesi-INFO'!$A:$A,'tuot-PVÄ'!B682)</f>
        <v>1746</v>
      </c>
      <c r="AC682" s="224">
        <f>SUMIFS('rehu-vesi-INFO'!$S:$S,'rehu-vesi-INFO'!$A:$A,'tuot-PVÄ'!B682)</f>
        <v>1853</v>
      </c>
      <c r="AD682" s="224">
        <f t="shared" si="184"/>
        <v>107</v>
      </c>
      <c r="AE682" s="224">
        <f t="shared" si="185"/>
        <v>0</v>
      </c>
      <c r="AF682" s="224">
        <f t="shared" si="186"/>
        <v>174.6</v>
      </c>
      <c r="AG682" s="224">
        <f t="shared" si="187"/>
        <v>10.7</v>
      </c>
      <c r="AH682" s="257">
        <f t="shared" si="189"/>
        <v>0</v>
      </c>
      <c r="AI682" s="258">
        <f t="shared" si="190"/>
        <v>0</v>
      </c>
      <c r="AJ682" s="55">
        <f>SUMIFS('tuot-INFO'!W:W,'tuot-INFO'!$A:$A,'tuot-PVÄ'!B682)</f>
        <v>0</v>
      </c>
      <c r="AK682" s="55">
        <f>SUMIFS('tuot-INFO'!X:X,'tuot-INFO'!$A:$A,'tuot-PVÄ'!B682)</f>
        <v>0</v>
      </c>
    </row>
    <row r="683" spans="1:37" x14ac:dyDescent="0.25">
      <c r="A683" s="169">
        <f t="shared" si="188"/>
        <v>43169</v>
      </c>
      <c r="B683" s="23">
        <f>ROUNDUP((A683-Yleistiedot!$B$4)/7,0)</f>
        <v>115</v>
      </c>
      <c r="C683" s="16"/>
      <c r="D683" s="25"/>
      <c r="E683" s="25"/>
      <c r="F683" s="25"/>
      <c r="G683" s="25"/>
      <c r="H683" s="25"/>
      <c r="I683" s="65">
        <f t="shared" si="183"/>
        <v>0</v>
      </c>
      <c r="J683" s="26"/>
      <c r="K683" s="25"/>
      <c r="L683" s="16"/>
      <c r="M683" s="16"/>
      <c r="N683" s="25"/>
      <c r="O683" s="30"/>
      <c r="P683" s="252">
        <f t="shared" si="195"/>
        <v>9990</v>
      </c>
      <c r="Q683" s="253">
        <f t="shared" si="196"/>
        <v>0</v>
      </c>
      <c r="R683" s="253">
        <f t="shared" si="197"/>
        <v>0</v>
      </c>
      <c r="S683" s="251">
        <f>SUMIFS('tuot-rehukirjanpito'!D:D,'tuot-rehukirjanpito'!A:A,A683)</f>
        <v>0</v>
      </c>
      <c r="T683" s="254">
        <f t="shared" si="191"/>
        <v>1098.9000000000001</v>
      </c>
      <c r="U683" s="254">
        <f t="shared" si="192"/>
        <v>1098.8999999999999</v>
      </c>
      <c r="V683" s="252">
        <f t="shared" si="193"/>
        <v>-748350.90000000934</v>
      </c>
      <c r="W683" s="255">
        <f t="shared" si="194"/>
        <v>-681.00000000000841</v>
      </c>
      <c r="X683" s="256" t="str">
        <f t="shared" si="198"/>
        <v/>
      </c>
      <c r="Y683" s="256" t="str">
        <f t="shared" si="199"/>
        <v/>
      </c>
      <c r="Z683" s="224" t="str">
        <f>IF(IFERROR(INDEX('tuot-rehukirjanpito'!I:I,MATCH(A683,'tuot-rehukirjanpito'!G:G,0)),)=0,"",INDEX('tuot-rehukirjanpito'!I:I,MATCH(A683,'tuot-rehukirjanpito'!G:G,0)))</f>
        <v/>
      </c>
      <c r="AA683" s="224">
        <f>SUMIFS('tuot-INFO'!$K$10:$K$115,'tuot-INFO'!$A$10:$A$115,'tuot-PVÄ'!B683)</f>
        <v>0</v>
      </c>
      <c r="AB683" s="224">
        <f>SUMIFS('rehu-vesi-INFO'!$R:$R,'rehu-vesi-INFO'!$A:$A,'tuot-PVÄ'!B683)</f>
        <v>1746</v>
      </c>
      <c r="AC683" s="224">
        <f>SUMIFS('rehu-vesi-INFO'!$S:$S,'rehu-vesi-INFO'!$A:$A,'tuot-PVÄ'!B683)</f>
        <v>1853</v>
      </c>
      <c r="AD683" s="224">
        <f t="shared" si="184"/>
        <v>107</v>
      </c>
      <c r="AE683" s="224">
        <f t="shared" si="185"/>
        <v>0</v>
      </c>
      <c r="AF683" s="224">
        <f t="shared" si="186"/>
        <v>174.6</v>
      </c>
      <c r="AG683" s="224">
        <f t="shared" si="187"/>
        <v>10.7</v>
      </c>
      <c r="AH683" s="257">
        <f t="shared" si="189"/>
        <v>0</v>
      </c>
      <c r="AI683" s="258">
        <f t="shared" si="190"/>
        <v>0</v>
      </c>
      <c r="AJ683" s="55">
        <f>SUMIFS('tuot-INFO'!W:W,'tuot-INFO'!$A:$A,'tuot-PVÄ'!B683)</f>
        <v>0</v>
      </c>
      <c r="AK683" s="55">
        <f>SUMIFS('tuot-INFO'!X:X,'tuot-INFO'!$A:$A,'tuot-PVÄ'!B683)</f>
        <v>0</v>
      </c>
    </row>
    <row r="684" spans="1:37" x14ac:dyDescent="0.25">
      <c r="A684" s="169">
        <f t="shared" si="188"/>
        <v>43170</v>
      </c>
      <c r="B684" s="23">
        <f>ROUNDUP((A684-Yleistiedot!$B$4)/7,0)</f>
        <v>115</v>
      </c>
      <c r="C684" s="16"/>
      <c r="D684" s="25"/>
      <c r="E684" s="25"/>
      <c r="F684" s="25"/>
      <c r="G684" s="25"/>
      <c r="H684" s="25"/>
      <c r="I684" s="65">
        <f t="shared" si="183"/>
        <v>0</v>
      </c>
      <c r="J684" s="26"/>
      <c r="K684" s="25"/>
      <c r="L684" s="16"/>
      <c r="M684" s="16"/>
      <c r="N684" s="25"/>
      <c r="O684" s="30"/>
      <c r="P684" s="252">
        <f t="shared" si="195"/>
        <v>9990</v>
      </c>
      <c r="Q684" s="253">
        <f t="shared" si="196"/>
        <v>0</v>
      </c>
      <c r="R684" s="253">
        <f t="shared" si="197"/>
        <v>0</v>
      </c>
      <c r="S684" s="251">
        <f>SUMIFS('tuot-rehukirjanpito'!D:D,'tuot-rehukirjanpito'!A:A,A684)</f>
        <v>0</v>
      </c>
      <c r="T684" s="254">
        <f t="shared" si="191"/>
        <v>1098.9000000000001</v>
      </c>
      <c r="U684" s="254">
        <f t="shared" si="192"/>
        <v>1098.8999999999999</v>
      </c>
      <c r="V684" s="252">
        <f t="shared" si="193"/>
        <v>-749449.80000000936</v>
      </c>
      <c r="W684" s="255">
        <f t="shared" si="194"/>
        <v>-682.00000000000841</v>
      </c>
      <c r="X684" s="256" t="str">
        <f t="shared" si="198"/>
        <v/>
      </c>
      <c r="Y684" s="256" t="str">
        <f t="shared" si="199"/>
        <v/>
      </c>
      <c r="Z684" s="224" t="str">
        <f>IF(IFERROR(INDEX('tuot-rehukirjanpito'!I:I,MATCH(A684,'tuot-rehukirjanpito'!G:G,0)),)=0,"",INDEX('tuot-rehukirjanpito'!I:I,MATCH(A684,'tuot-rehukirjanpito'!G:G,0)))</f>
        <v/>
      </c>
      <c r="AA684" s="224">
        <f>SUMIFS('tuot-INFO'!$K$10:$K$115,'tuot-INFO'!$A$10:$A$115,'tuot-PVÄ'!B684)</f>
        <v>0</v>
      </c>
      <c r="AB684" s="224">
        <f>SUMIFS('rehu-vesi-INFO'!$R:$R,'rehu-vesi-INFO'!$A:$A,'tuot-PVÄ'!B684)</f>
        <v>1746</v>
      </c>
      <c r="AC684" s="224">
        <f>SUMIFS('rehu-vesi-INFO'!$S:$S,'rehu-vesi-INFO'!$A:$A,'tuot-PVÄ'!B684)</f>
        <v>1853</v>
      </c>
      <c r="AD684" s="224">
        <f t="shared" si="184"/>
        <v>107</v>
      </c>
      <c r="AE684" s="224">
        <f t="shared" si="185"/>
        <v>0</v>
      </c>
      <c r="AF684" s="224">
        <f t="shared" si="186"/>
        <v>174.6</v>
      </c>
      <c r="AG684" s="224">
        <f t="shared" si="187"/>
        <v>10.7</v>
      </c>
      <c r="AH684" s="257">
        <f t="shared" si="189"/>
        <v>0</v>
      </c>
      <c r="AI684" s="258">
        <f t="shared" si="190"/>
        <v>0</v>
      </c>
      <c r="AJ684" s="55">
        <f>SUMIFS('tuot-INFO'!W:W,'tuot-INFO'!$A:$A,'tuot-PVÄ'!B684)</f>
        <v>0</v>
      </c>
      <c r="AK684" s="55">
        <f>SUMIFS('tuot-INFO'!X:X,'tuot-INFO'!$A:$A,'tuot-PVÄ'!B684)</f>
        <v>0</v>
      </c>
    </row>
    <row r="685" spans="1:37" x14ac:dyDescent="0.25">
      <c r="A685" s="169">
        <f t="shared" si="188"/>
        <v>43171</v>
      </c>
      <c r="B685" s="23">
        <f>ROUNDUP((A685-Yleistiedot!$B$4)/7,0)</f>
        <v>115</v>
      </c>
      <c r="C685" s="16"/>
      <c r="D685" s="25"/>
      <c r="E685" s="25"/>
      <c r="F685" s="25"/>
      <c r="G685" s="25"/>
      <c r="H685" s="25"/>
      <c r="I685" s="65">
        <f t="shared" si="183"/>
        <v>0</v>
      </c>
      <c r="J685" s="26"/>
      <c r="K685" s="25"/>
      <c r="L685" s="16"/>
      <c r="M685" s="16"/>
      <c r="N685" s="25"/>
      <c r="O685" s="30"/>
      <c r="P685" s="252">
        <f t="shared" si="195"/>
        <v>9990</v>
      </c>
      <c r="Q685" s="253">
        <f t="shared" si="196"/>
        <v>0</v>
      </c>
      <c r="R685" s="253">
        <f t="shared" si="197"/>
        <v>0</v>
      </c>
      <c r="S685" s="251">
        <f>SUMIFS('tuot-rehukirjanpito'!D:D,'tuot-rehukirjanpito'!A:A,A685)</f>
        <v>0</v>
      </c>
      <c r="T685" s="254">
        <f t="shared" si="191"/>
        <v>1098.9000000000001</v>
      </c>
      <c r="U685" s="254">
        <f t="shared" si="192"/>
        <v>1098.8999999999999</v>
      </c>
      <c r="V685" s="252">
        <f t="shared" si="193"/>
        <v>-750548.70000000938</v>
      </c>
      <c r="W685" s="255">
        <f t="shared" si="194"/>
        <v>-683.00000000000853</v>
      </c>
      <c r="X685" s="256" t="str">
        <f t="shared" si="198"/>
        <v/>
      </c>
      <c r="Y685" s="256" t="str">
        <f t="shared" si="199"/>
        <v/>
      </c>
      <c r="Z685" s="224" t="str">
        <f>IF(IFERROR(INDEX('tuot-rehukirjanpito'!I:I,MATCH(A685,'tuot-rehukirjanpito'!G:G,0)),)=0,"",INDEX('tuot-rehukirjanpito'!I:I,MATCH(A685,'tuot-rehukirjanpito'!G:G,0)))</f>
        <v/>
      </c>
      <c r="AA685" s="224">
        <f>SUMIFS('tuot-INFO'!$K$10:$K$115,'tuot-INFO'!$A$10:$A$115,'tuot-PVÄ'!B685)</f>
        <v>0</v>
      </c>
      <c r="AB685" s="224">
        <f>SUMIFS('rehu-vesi-INFO'!$R:$R,'rehu-vesi-INFO'!$A:$A,'tuot-PVÄ'!B685)</f>
        <v>1746</v>
      </c>
      <c r="AC685" s="224">
        <f>SUMIFS('rehu-vesi-INFO'!$S:$S,'rehu-vesi-INFO'!$A:$A,'tuot-PVÄ'!B685)</f>
        <v>1853</v>
      </c>
      <c r="AD685" s="224">
        <f t="shared" si="184"/>
        <v>107</v>
      </c>
      <c r="AE685" s="224">
        <f t="shared" si="185"/>
        <v>0</v>
      </c>
      <c r="AF685" s="224">
        <f t="shared" si="186"/>
        <v>174.6</v>
      </c>
      <c r="AG685" s="224">
        <f t="shared" si="187"/>
        <v>10.7</v>
      </c>
      <c r="AH685" s="257">
        <f t="shared" si="189"/>
        <v>0</v>
      </c>
      <c r="AI685" s="258">
        <f t="shared" si="190"/>
        <v>0</v>
      </c>
      <c r="AJ685" s="55">
        <f>SUMIFS('tuot-INFO'!W:W,'tuot-INFO'!$A:$A,'tuot-PVÄ'!B685)</f>
        <v>0</v>
      </c>
      <c r="AK685" s="55">
        <f>SUMIFS('tuot-INFO'!X:X,'tuot-INFO'!$A:$A,'tuot-PVÄ'!B685)</f>
        <v>0</v>
      </c>
    </row>
    <row r="686" spans="1:37" x14ac:dyDescent="0.25">
      <c r="A686" s="169">
        <f t="shared" si="188"/>
        <v>43172</v>
      </c>
      <c r="B686" s="23">
        <f>ROUNDUP((A686-Yleistiedot!$B$4)/7,0)</f>
        <v>115</v>
      </c>
      <c r="C686" s="16"/>
      <c r="D686" s="25"/>
      <c r="E686" s="25"/>
      <c r="F686" s="25"/>
      <c r="G686" s="25"/>
      <c r="H686" s="25"/>
      <c r="I686" s="65">
        <f t="shared" si="183"/>
        <v>0</v>
      </c>
      <c r="J686" s="26"/>
      <c r="K686" s="25"/>
      <c r="L686" s="16"/>
      <c r="M686" s="16"/>
      <c r="N686" s="25"/>
      <c r="O686" s="30"/>
      <c r="P686" s="252">
        <f t="shared" si="195"/>
        <v>9990</v>
      </c>
      <c r="Q686" s="253">
        <f t="shared" si="196"/>
        <v>0</v>
      </c>
      <c r="R686" s="253">
        <f t="shared" si="197"/>
        <v>0</v>
      </c>
      <c r="S686" s="251">
        <f>SUMIFS('tuot-rehukirjanpito'!D:D,'tuot-rehukirjanpito'!A:A,A686)</f>
        <v>0</v>
      </c>
      <c r="T686" s="254">
        <f t="shared" si="191"/>
        <v>1098.9000000000001</v>
      </c>
      <c r="U686" s="254">
        <f t="shared" si="192"/>
        <v>1098.8999999999999</v>
      </c>
      <c r="V686" s="252">
        <f t="shared" si="193"/>
        <v>-751647.60000000941</v>
      </c>
      <c r="W686" s="255">
        <f t="shared" si="194"/>
        <v>-684.00000000000853</v>
      </c>
      <c r="X686" s="256" t="str">
        <f t="shared" si="198"/>
        <v/>
      </c>
      <c r="Y686" s="256" t="str">
        <f t="shared" si="199"/>
        <v/>
      </c>
      <c r="Z686" s="224" t="str">
        <f>IF(IFERROR(INDEX('tuot-rehukirjanpito'!I:I,MATCH(A686,'tuot-rehukirjanpito'!G:G,0)),)=0,"",INDEX('tuot-rehukirjanpito'!I:I,MATCH(A686,'tuot-rehukirjanpito'!G:G,0)))</f>
        <v/>
      </c>
      <c r="AA686" s="224">
        <f>SUMIFS('tuot-INFO'!$K$10:$K$115,'tuot-INFO'!$A$10:$A$115,'tuot-PVÄ'!B686)</f>
        <v>0</v>
      </c>
      <c r="AB686" s="224">
        <f>SUMIFS('rehu-vesi-INFO'!$R:$R,'rehu-vesi-INFO'!$A:$A,'tuot-PVÄ'!B686)</f>
        <v>1746</v>
      </c>
      <c r="AC686" s="224">
        <f>SUMIFS('rehu-vesi-INFO'!$S:$S,'rehu-vesi-INFO'!$A:$A,'tuot-PVÄ'!B686)</f>
        <v>1853</v>
      </c>
      <c r="AD686" s="224">
        <f t="shared" si="184"/>
        <v>107</v>
      </c>
      <c r="AE686" s="224">
        <f t="shared" si="185"/>
        <v>0</v>
      </c>
      <c r="AF686" s="224">
        <f t="shared" si="186"/>
        <v>174.6</v>
      </c>
      <c r="AG686" s="224">
        <f t="shared" si="187"/>
        <v>10.7</v>
      </c>
      <c r="AH686" s="257">
        <f t="shared" si="189"/>
        <v>0</v>
      </c>
      <c r="AI686" s="258">
        <f t="shared" si="190"/>
        <v>0</v>
      </c>
      <c r="AJ686" s="55">
        <f>SUMIFS('tuot-INFO'!W:W,'tuot-INFO'!$A:$A,'tuot-PVÄ'!B686)</f>
        <v>0</v>
      </c>
      <c r="AK686" s="55">
        <f>SUMIFS('tuot-INFO'!X:X,'tuot-INFO'!$A:$A,'tuot-PVÄ'!B686)</f>
        <v>0</v>
      </c>
    </row>
    <row r="687" spans="1:37" x14ac:dyDescent="0.25">
      <c r="A687" s="169">
        <f t="shared" si="188"/>
        <v>43173</v>
      </c>
      <c r="B687" s="23">
        <f>ROUNDUP((A687-Yleistiedot!$B$4)/7,0)</f>
        <v>115</v>
      </c>
      <c r="C687" s="16"/>
      <c r="D687" s="25"/>
      <c r="E687" s="25"/>
      <c r="F687" s="25"/>
      <c r="G687" s="25"/>
      <c r="H687" s="25"/>
      <c r="I687" s="65">
        <f t="shared" si="183"/>
        <v>0</v>
      </c>
      <c r="J687" s="26"/>
      <c r="K687" s="25"/>
      <c r="L687" s="16"/>
      <c r="M687" s="16"/>
      <c r="N687" s="25"/>
      <c r="O687" s="30"/>
      <c r="P687" s="252">
        <f t="shared" si="195"/>
        <v>9990</v>
      </c>
      <c r="Q687" s="253">
        <f t="shared" si="196"/>
        <v>0</v>
      </c>
      <c r="R687" s="253">
        <f t="shared" si="197"/>
        <v>0</v>
      </c>
      <c r="S687" s="251">
        <f>SUMIFS('tuot-rehukirjanpito'!D:D,'tuot-rehukirjanpito'!A:A,A687)</f>
        <v>0</v>
      </c>
      <c r="T687" s="254">
        <f t="shared" si="191"/>
        <v>1098.9000000000001</v>
      </c>
      <c r="U687" s="254">
        <f t="shared" si="192"/>
        <v>1098.8999999999999</v>
      </c>
      <c r="V687" s="252">
        <f t="shared" si="193"/>
        <v>-752746.50000000943</v>
      </c>
      <c r="W687" s="255">
        <f t="shared" si="194"/>
        <v>-685.00000000000853</v>
      </c>
      <c r="X687" s="256" t="str">
        <f t="shared" si="198"/>
        <v/>
      </c>
      <c r="Y687" s="256" t="str">
        <f t="shared" si="199"/>
        <v/>
      </c>
      <c r="Z687" s="224" t="str">
        <f>IF(IFERROR(INDEX('tuot-rehukirjanpito'!I:I,MATCH(A687,'tuot-rehukirjanpito'!G:G,0)),)=0,"",INDEX('tuot-rehukirjanpito'!I:I,MATCH(A687,'tuot-rehukirjanpito'!G:G,0)))</f>
        <v/>
      </c>
      <c r="AA687" s="224">
        <f>SUMIFS('tuot-INFO'!$K$10:$K$115,'tuot-INFO'!$A$10:$A$115,'tuot-PVÄ'!B687)</f>
        <v>0</v>
      </c>
      <c r="AB687" s="224">
        <f>SUMIFS('rehu-vesi-INFO'!$R:$R,'rehu-vesi-INFO'!$A:$A,'tuot-PVÄ'!B687)</f>
        <v>1746</v>
      </c>
      <c r="AC687" s="224">
        <f>SUMIFS('rehu-vesi-INFO'!$S:$S,'rehu-vesi-INFO'!$A:$A,'tuot-PVÄ'!B687)</f>
        <v>1853</v>
      </c>
      <c r="AD687" s="224">
        <f t="shared" si="184"/>
        <v>107</v>
      </c>
      <c r="AE687" s="224">
        <f t="shared" si="185"/>
        <v>0</v>
      </c>
      <c r="AF687" s="224">
        <f t="shared" si="186"/>
        <v>174.6</v>
      </c>
      <c r="AG687" s="224">
        <f t="shared" si="187"/>
        <v>10.7</v>
      </c>
      <c r="AH687" s="257">
        <f t="shared" si="189"/>
        <v>0</v>
      </c>
      <c r="AI687" s="258">
        <f t="shared" si="190"/>
        <v>0</v>
      </c>
      <c r="AJ687" s="55">
        <f>SUMIFS('tuot-INFO'!W:W,'tuot-INFO'!$A:$A,'tuot-PVÄ'!B687)</f>
        <v>0</v>
      </c>
      <c r="AK687" s="55">
        <f>SUMIFS('tuot-INFO'!X:X,'tuot-INFO'!$A:$A,'tuot-PVÄ'!B687)</f>
        <v>0</v>
      </c>
    </row>
    <row r="688" spans="1:37" x14ac:dyDescent="0.25">
      <c r="A688" s="169">
        <f t="shared" si="188"/>
        <v>43174</v>
      </c>
      <c r="B688" s="23">
        <f>ROUNDUP((A688-Yleistiedot!$B$4)/7,0)</f>
        <v>115</v>
      </c>
      <c r="C688" s="16"/>
      <c r="D688" s="25"/>
      <c r="E688" s="25"/>
      <c r="F688" s="25"/>
      <c r="G688" s="25"/>
      <c r="H688" s="25"/>
      <c r="I688" s="65">
        <f t="shared" si="183"/>
        <v>0</v>
      </c>
      <c r="J688" s="26"/>
      <c r="K688" s="25"/>
      <c r="L688" s="16"/>
      <c r="M688" s="16"/>
      <c r="N688" s="25"/>
      <c r="O688" s="30"/>
      <c r="P688" s="252">
        <f t="shared" si="195"/>
        <v>9990</v>
      </c>
      <c r="Q688" s="253">
        <f t="shared" si="196"/>
        <v>0</v>
      </c>
      <c r="R688" s="253">
        <f t="shared" si="197"/>
        <v>0</v>
      </c>
      <c r="S688" s="251">
        <f>SUMIFS('tuot-rehukirjanpito'!D:D,'tuot-rehukirjanpito'!A:A,A688)</f>
        <v>0</v>
      </c>
      <c r="T688" s="254">
        <f t="shared" si="191"/>
        <v>1098.9000000000001</v>
      </c>
      <c r="U688" s="254">
        <f t="shared" si="192"/>
        <v>1098.8999999999999</v>
      </c>
      <c r="V688" s="252">
        <f t="shared" si="193"/>
        <v>-753845.40000000945</v>
      </c>
      <c r="W688" s="255">
        <f t="shared" si="194"/>
        <v>-686.00000000000853</v>
      </c>
      <c r="X688" s="256" t="str">
        <f t="shared" si="198"/>
        <v/>
      </c>
      <c r="Y688" s="256" t="str">
        <f t="shared" si="199"/>
        <v/>
      </c>
      <c r="Z688" s="224" t="str">
        <f>IF(IFERROR(INDEX('tuot-rehukirjanpito'!I:I,MATCH(A688,'tuot-rehukirjanpito'!G:G,0)),)=0,"",INDEX('tuot-rehukirjanpito'!I:I,MATCH(A688,'tuot-rehukirjanpito'!G:G,0)))</f>
        <v/>
      </c>
      <c r="AA688" s="224">
        <f>SUMIFS('tuot-INFO'!$K$10:$K$115,'tuot-INFO'!$A$10:$A$115,'tuot-PVÄ'!B688)</f>
        <v>0</v>
      </c>
      <c r="AB688" s="224">
        <f>SUMIFS('rehu-vesi-INFO'!$R:$R,'rehu-vesi-INFO'!$A:$A,'tuot-PVÄ'!B688)</f>
        <v>1746</v>
      </c>
      <c r="AC688" s="224">
        <f>SUMIFS('rehu-vesi-INFO'!$S:$S,'rehu-vesi-INFO'!$A:$A,'tuot-PVÄ'!B688)</f>
        <v>1853</v>
      </c>
      <c r="AD688" s="224">
        <f t="shared" si="184"/>
        <v>107</v>
      </c>
      <c r="AE688" s="224">
        <f t="shared" si="185"/>
        <v>0</v>
      </c>
      <c r="AF688" s="224">
        <f t="shared" si="186"/>
        <v>174.6</v>
      </c>
      <c r="AG688" s="224">
        <f t="shared" si="187"/>
        <v>10.7</v>
      </c>
      <c r="AH688" s="257">
        <f t="shared" si="189"/>
        <v>0</v>
      </c>
      <c r="AI688" s="258">
        <f t="shared" si="190"/>
        <v>0</v>
      </c>
      <c r="AJ688" s="55">
        <f>SUMIFS('tuot-INFO'!W:W,'tuot-INFO'!$A:$A,'tuot-PVÄ'!B688)</f>
        <v>0</v>
      </c>
      <c r="AK688" s="55">
        <f>SUMIFS('tuot-INFO'!X:X,'tuot-INFO'!$A:$A,'tuot-PVÄ'!B688)</f>
        <v>0</v>
      </c>
    </row>
    <row r="689" spans="1:37" x14ac:dyDescent="0.25">
      <c r="A689" s="169">
        <f t="shared" si="188"/>
        <v>43175</v>
      </c>
      <c r="B689" s="23">
        <f>ROUNDUP((A689-Yleistiedot!$B$4)/7,0)</f>
        <v>115</v>
      </c>
      <c r="C689" s="16"/>
      <c r="D689" s="25"/>
      <c r="E689" s="25"/>
      <c r="F689" s="25"/>
      <c r="G689" s="25"/>
      <c r="H689" s="25"/>
      <c r="I689" s="65">
        <f t="shared" si="183"/>
        <v>0</v>
      </c>
      <c r="J689" s="26"/>
      <c r="K689" s="25"/>
      <c r="L689" s="16"/>
      <c r="M689" s="16"/>
      <c r="N689" s="25"/>
      <c r="O689" s="30"/>
      <c r="P689" s="252">
        <f t="shared" si="195"/>
        <v>9990</v>
      </c>
      <c r="Q689" s="253">
        <f t="shared" si="196"/>
        <v>0</v>
      </c>
      <c r="R689" s="253">
        <f t="shared" si="197"/>
        <v>0</v>
      </c>
      <c r="S689" s="251">
        <f>SUMIFS('tuot-rehukirjanpito'!D:D,'tuot-rehukirjanpito'!A:A,A689)</f>
        <v>0</v>
      </c>
      <c r="T689" s="254">
        <f t="shared" si="191"/>
        <v>1098.9000000000001</v>
      </c>
      <c r="U689" s="254">
        <f t="shared" si="192"/>
        <v>1098.8999999999999</v>
      </c>
      <c r="V689" s="252">
        <f t="shared" si="193"/>
        <v>-754944.30000000948</v>
      </c>
      <c r="W689" s="255">
        <f t="shared" si="194"/>
        <v>-687.00000000000853</v>
      </c>
      <c r="X689" s="256" t="str">
        <f t="shared" si="198"/>
        <v/>
      </c>
      <c r="Y689" s="256" t="str">
        <f t="shared" si="199"/>
        <v/>
      </c>
      <c r="Z689" s="224" t="str">
        <f>IF(IFERROR(INDEX('tuot-rehukirjanpito'!I:I,MATCH(A689,'tuot-rehukirjanpito'!G:G,0)),)=0,"",INDEX('tuot-rehukirjanpito'!I:I,MATCH(A689,'tuot-rehukirjanpito'!G:G,0)))</f>
        <v/>
      </c>
      <c r="AA689" s="224">
        <f>SUMIFS('tuot-INFO'!$K$10:$K$115,'tuot-INFO'!$A$10:$A$115,'tuot-PVÄ'!B689)</f>
        <v>0</v>
      </c>
      <c r="AB689" s="224">
        <f>SUMIFS('rehu-vesi-INFO'!$R:$R,'rehu-vesi-INFO'!$A:$A,'tuot-PVÄ'!B689)</f>
        <v>1746</v>
      </c>
      <c r="AC689" s="224">
        <f>SUMIFS('rehu-vesi-INFO'!$S:$S,'rehu-vesi-INFO'!$A:$A,'tuot-PVÄ'!B689)</f>
        <v>1853</v>
      </c>
      <c r="AD689" s="224">
        <f t="shared" si="184"/>
        <v>107</v>
      </c>
      <c r="AE689" s="224">
        <f t="shared" si="185"/>
        <v>0</v>
      </c>
      <c r="AF689" s="224">
        <f t="shared" si="186"/>
        <v>174.6</v>
      </c>
      <c r="AG689" s="224">
        <f t="shared" si="187"/>
        <v>10.7</v>
      </c>
      <c r="AH689" s="257">
        <f t="shared" si="189"/>
        <v>0</v>
      </c>
      <c r="AI689" s="258">
        <f t="shared" si="190"/>
        <v>0</v>
      </c>
      <c r="AJ689" s="55">
        <f>SUMIFS('tuot-INFO'!W:W,'tuot-INFO'!$A:$A,'tuot-PVÄ'!B689)</f>
        <v>0</v>
      </c>
      <c r="AK689" s="55">
        <f>SUMIFS('tuot-INFO'!X:X,'tuot-INFO'!$A:$A,'tuot-PVÄ'!B689)</f>
        <v>0</v>
      </c>
    </row>
    <row r="690" spans="1:37" x14ac:dyDescent="0.25">
      <c r="A690" s="169">
        <f t="shared" si="188"/>
        <v>43176</v>
      </c>
      <c r="B690" s="23">
        <f>ROUNDUP((A690-Yleistiedot!$B$4)/7,0)</f>
        <v>116</v>
      </c>
      <c r="C690" s="16"/>
      <c r="D690" s="25"/>
      <c r="E690" s="25"/>
      <c r="F690" s="25"/>
      <c r="G690" s="25"/>
      <c r="H690" s="25"/>
      <c r="I690" s="65">
        <f t="shared" si="183"/>
        <v>0</v>
      </c>
      <c r="J690" s="26"/>
      <c r="K690" s="25"/>
      <c r="L690" s="16"/>
      <c r="M690" s="16"/>
      <c r="N690" s="25"/>
      <c r="O690" s="30"/>
      <c r="P690" s="252">
        <f t="shared" si="195"/>
        <v>9990</v>
      </c>
      <c r="Q690" s="253">
        <f t="shared" si="196"/>
        <v>0</v>
      </c>
      <c r="R690" s="253">
        <f t="shared" si="197"/>
        <v>0</v>
      </c>
      <c r="S690" s="251">
        <f>SUMIFS('tuot-rehukirjanpito'!D:D,'tuot-rehukirjanpito'!A:A,A690)</f>
        <v>0</v>
      </c>
      <c r="T690" s="254">
        <f t="shared" si="191"/>
        <v>1098.9000000000001</v>
      </c>
      <c r="U690" s="254">
        <f t="shared" si="192"/>
        <v>1098.8999999999999</v>
      </c>
      <c r="V690" s="252">
        <f t="shared" si="193"/>
        <v>-756043.2000000095</v>
      </c>
      <c r="W690" s="255">
        <f t="shared" si="194"/>
        <v>-688.00000000000864</v>
      </c>
      <c r="X690" s="256" t="str">
        <f t="shared" si="198"/>
        <v/>
      </c>
      <c r="Y690" s="256" t="str">
        <f t="shared" si="199"/>
        <v/>
      </c>
      <c r="Z690" s="224" t="str">
        <f>IF(IFERROR(INDEX('tuot-rehukirjanpito'!I:I,MATCH(A690,'tuot-rehukirjanpito'!G:G,0)),)=0,"",INDEX('tuot-rehukirjanpito'!I:I,MATCH(A690,'tuot-rehukirjanpito'!G:G,0)))</f>
        <v/>
      </c>
      <c r="AA690" s="224">
        <f>SUMIFS('tuot-INFO'!$K$10:$K$115,'tuot-INFO'!$A$10:$A$115,'tuot-PVÄ'!B690)</f>
        <v>0</v>
      </c>
      <c r="AB690" s="224">
        <f>SUMIFS('rehu-vesi-INFO'!$R:$R,'rehu-vesi-INFO'!$A:$A,'tuot-PVÄ'!B690)</f>
        <v>1746</v>
      </c>
      <c r="AC690" s="224">
        <f>SUMIFS('rehu-vesi-INFO'!$S:$S,'rehu-vesi-INFO'!$A:$A,'tuot-PVÄ'!B690)</f>
        <v>1853</v>
      </c>
      <c r="AD690" s="224">
        <f t="shared" si="184"/>
        <v>107</v>
      </c>
      <c r="AE690" s="224">
        <f t="shared" si="185"/>
        <v>0</v>
      </c>
      <c r="AF690" s="224">
        <f t="shared" si="186"/>
        <v>174.6</v>
      </c>
      <c r="AG690" s="224">
        <f t="shared" si="187"/>
        <v>10.7</v>
      </c>
      <c r="AH690" s="257">
        <f t="shared" si="189"/>
        <v>0</v>
      </c>
      <c r="AI690" s="258">
        <f t="shared" si="190"/>
        <v>0</v>
      </c>
      <c r="AJ690" s="55">
        <f>SUMIFS('tuot-INFO'!W:W,'tuot-INFO'!$A:$A,'tuot-PVÄ'!B690)</f>
        <v>0</v>
      </c>
      <c r="AK690" s="55">
        <f>SUMIFS('tuot-INFO'!X:X,'tuot-INFO'!$A:$A,'tuot-PVÄ'!B690)</f>
        <v>0</v>
      </c>
    </row>
    <row r="691" spans="1:37" x14ac:dyDescent="0.25">
      <c r="A691" s="169">
        <f t="shared" si="188"/>
        <v>43177</v>
      </c>
      <c r="B691" s="23">
        <f>ROUNDUP((A691-Yleistiedot!$B$4)/7,0)</f>
        <v>116</v>
      </c>
      <c r="C691" s="16"/>
      <c r="D691" s="25"/>
      <c r="E691" s="25"/>
      <c r="F691" s="25"/>
      <c r="G691" s="25"/>
      <c r="H691" s="25"/>
      <c r="I691" s="65">
        <f t="shared" si="183"/>
        <v>0</v>
      </c>
      <c r="J691" s="26"/>
      <c r="K691" s="25"/>
      <c r="L691" s="16"/>
      <c r="M691" s="16"/>
      <c r="N691" s="25"/>
      <c r="O691" s="30"/>
      <c r="P691" s="252">
        <f t="shared" si="195"/>
        <v>9990</v>
      </c>
      <c r="Q691" s="253">
        <f t="shared" si="196"/>
        <v>0</v>
      </c>
      <c r="R691" s="253">
        <f t="shared" si="197"/>
        <v>0</v>
      </c>
      <c r="S691" s="251">
        <f>SUMIFS('tuot-rehukirjanpito'!D:D,'tuot-rehukirjanpito'!A:A,A691)</f>
        <v>0</v>
      </c>
      <c r="T691" s="254">
        <f t="shared" si="191"/>
        <v>1098.9000000000001</v>
      </c>
      <c r="U691" s="254">
        <f t="shared" si="192"/>
        <v>1098.8999999999999</v>
      </c>
      <c r="V691" s="252">
        <f t="shared" si="193"/>
        <v>-757142.10000000952</v>
      </c>
      <c r="W691" s="255">
        <f t="shared" si="194"/>
        <v>-689.00000000000864</v>
      </c>
      <c r="X691" s="256" t="str">
        <f t="shared" si="198"/>
        <v/>
      </c>
      <c r="Y691" s="256" t="str">
        <f t="shared" si="199"/>
        <v/>
      </c>
      <c r="Z691" s="224" t="str">
        <f>IF(IFERROR(INDEX('tuot-rehukirjanpito'!I:I,MATCH(A691,'tuot-rehukirjanpito'!G:G,0)),)=0,"",INDEX('tuot-rehukirjanpito'!I:I,MATCH(A691,'tuot-rehukirjanpito'!G:G,0)))</f>
        <v/>
      </c>
      <c r="AA691" s="224">
        <f>SUMIFS('tuot-INFO'!$K$10:$K$115,'tuot-INFO'!$A$10:$A$115,'tuot-PVÄ'!B691)</f>
        <v>0</v>
      </c>
      <c r="AB691" s="224">
        <f>SUMIFS('rehu-vesi-INFO'!$R:$R,'rehu-vesi-INFO'!$A:$A,'tuot-PVÄ'!B691)</f>
        <v>1746</v>
      </c>
      <c r="AC691" s="224">
        <f>SUMIFS('rehu-vesi-INFO'!$S:$S,'rehu-vesi-INFO'!$A:$A,'tuot-PVÄ'!B691)</f>
        <v>1853</v>
      </c>
      <c r="AD691" s="224">
        <f t="shared" si="184"/>
        <v>107</v>
      </c>
      <c r="AE691" s="224">
        <f t="shared" si="185"/>
        <v>0</v>
      </c>
      <c r="AF691" s="224">
        <f t="shared" si="186"/>
        <v>174.6</v>
      </c>
      <c r="AG691" s="224">
        <f t="shared" si="187"/>
        <v>10.7</v>
      </c>
      <c r="AH691" s="257">
        <f t="shared" si="189"/>
        <v>0</v>
      </c>
      <c r="AI691" s="258">
        <f t="shared" si="190"/>
        <v>0</v>
      </c>
      <c r="AJ691" s="55">
        <f>SUMIFS('tuot-INFO'!W:W,'tuot-INFO'!$A:$A,'tuot-PVÄ'!B691)</f>
        <v>0</v>
      </c>
      <c r="AK691" s="55">
        <f>SUMIFS('tuot-INFO'!X:X,'tuot-INFO'!$A:$A,'tuot-PVÄ'!B691)</f>
        <v>0</v>
      </c>
    </row>
    <row r="692" spans="1:37" x14ac:dyDescent="0.25">
      <c r="A692" s="169">
        <f t="shared" si="188"/>
        <v>43178</v>
      </c>
      <c r="B692" s="23">
        <f>ROUNDUP((A692-Yleistiedot!$B$4)/7,0)</f>
        <v>116</v>
      </c>
      <c r="C692" s="16"/>
      <c r="D692" s="25"/>
      <c r="E692" s="25"/>
      <c r="F692" s="25"/>
      <c r="G692" s="25"/>
      <c r="H692" s="25"/>
      <c r="I692" s="65">
        <f t="shared" si="183"/>
        <v>0</v>
      </c>
      <c r="J692" s="26"/>
      <c r="K692" s="25"/>
      <c r="L692" s="16"/>
      <c r="M692" s="16"/>
      <c r="N692" s="25"/>
      <c r="O692" s="30"/>
      <c r="P692" s="252">
        <f t="shared" si="195"/>
        <v>9990</v>
      </c>
      <c r="Q692" s="253">
        <f t="shared" si="196"/>
        <v>0</v>
      </c>
      <c r="R692" s="253">
        <f t="shared" si="197"/>
        <v>0</v>
      </c>
      <c r="S692" s="251">
        <f>SUMIFS('tuot-rehukirjanpito'!D:D,'tuot-rehukirjanpito'!A:A,A692)</f>
        <v>0</v>
      </c>
      <c r="T692" s="254">
        <f t="shared" si="191"/>
        <v>1098.9000000000001</v>
      </c>
      <c r="U692" s="254">
        <f t="shared" si="192"/>
        <v>1098.8999999999999</v>
      </c>
      <c r="V692" s="252">
        <f t="shared" si="193"/>
        <v>-758241.00000000955</v>
      </c>
      <c r="W692" s="255">
        <f t="shared" si="194"/>
        <v>-690.00000000000864</v>
      </c>
      <c r="X692" s="256" t="str">
        <f t="shared" si="198"/>
        <v/>
      </c>
      <c r="Y692" s="256" t="str">
        <f t="shared" si="199"/>
        <v/>
      </c>
      <c r="Z692" s="224" t="str">
        <f>IF(IFERROR(INDEX('tuot-rehukirjanpito'!I:I,MATCH(A692,'tuot-rehukirjanpito'!G:G,0)),)=0,"",INDEX('tuot-rehukirjanpito'!I:I,MATCH(A692,'tuot-rehukirjanpito'!G:G,0)))</f>
        <v/>
      </c>
      <c r="AA692" s="224">
        <f>SUMIFS('tuot-INFO'!$K$10:$K$115,'tuot-INFO'!$A$10:$A$115,'tuot-PVÄ'!B692)</f>
        <v>0</v>
      </c>
      <c r="AB692" s="224">
        <f>SUMIFS('rehu-vesi-INFO'!$R:$R,'rehu-vesi-INFO'!$A:$A,'tuot-PVÄ'!B692)</f>
        <v>1746</v>
      </c>
      <c r="AC692" s="224">
        <f>SUMIFS('rehu-vesi-INFO'!$S:$S,'rehu-vesi-INFO'!$A:$A,'tuot-PVÄ'!B692)</f>
        <v>1853</v>
      </c>
      <c r="AD692" s="224">
        <f t="shared" si="184"/>
        <v>107</v>
      </c>
      <c r="AE692" s="224">
        <f t="shared" si="185"/>
        <v>0</v>
      </c>
      <c r="AF692" s="224">
        <f t="shared" si="186"/>
        <v>174.6</v>
      </c>
      <c r="AG692" s="224">
        <f t="shared" si="187"/>
        <v>10.7</v>
      </c>
      <c r="AH692" s="257">
        <f t="shared" si="189"/>
        <v>0</v>
      </c>
      <c r="AI692" s="258">
        <f t="shared" si="190"/>
        <v>0</v>
      </c>
      <c r="AJ692" s="55">
        <f>SUMIFS('tuot-INFO'!W:W,'tuot-INFO'!$A:$A,'tuot-PVÄ'!B692)</f>
        <v>0</v>
      </c>
      <c r="AK692" s="55">
        <f>SUMIFS('tuot-INFO'!X:X,'tuot-INFO'!$A:$A,'tuot-PVÄ'!B692)</f>
        <v>0</v>
      </c>
    </row>
    <row r="693" spans="1:37" x14ac:dyDescent="0.25">
      <c r="A693" s="169">
        <f t="shared" si="188"/>
        <v>43179</v>
      </c>
      <c r="B693" s="23">
        <f>ROUNDUP((A693-Yleistiedot!$B$4)/7,0)</f>
        <v>116</v>
      </c>
      <c r="C693" s="16"/>
      <c r="D693" s="25"/>
      <c r="E693" s="25"/>
      <c r="F693" s="25"/>
      <c r="G693" s="25"/>
      <c r="H693" s="25"/>
      <c r="I693" s="65">
        <f t="shared" si="183"/>
        <v>0</v>
      </c>
      <c r="J693" s="26"/>
      <c r="K693" s="25"/>
      <c r="L693" s="16"/>
      <c r="M693" s="16"/>
      <c r="N693" s="25"/>
      <c r="O693" s="30"/>
      <c r="P693" s="252">
        <f t="shared" si="195"/>
        <v>9990</v>
      </c>
      <c r="Q693" s="253">
        <f t="shared" si="196"/>
        <v>0</v>
      </c>
      <c r="R693" s="253">
        <f t="shared" si="197"/>
        <v>0</v>
      </c>
      <c r="S693" s="251">
        <f>SUMIFS('tuot-rehukirjanpito'!D:D,'tuot-rehukirjanpito'!A:A,A693)</f>
        <v>0</v>
      </c>
      <c r="T693" s="254">
        <f t="shared" si="191"/>
        <v>1098.9000000000001</v>
      </c>
      <c r="U693" s="254">
        <f t="shared" si="192"/>
        <v>1098.8999999999999</v>
      </c>
      <c r="V693" s="252">
        <f t="shared" si="193"/>
        <v>-759339.90000000957</v>
      </c>
      <c r="W693" s="255">
        <f t="shared" si="194"/>
        <v>-691.00000000000864</v>
      </c>
      <c r="X693" s="256" t="str">
        <f t="shared" si="198"/>
        <v/>
      </c>
      <c r="Y693" s="256" t="str">
        <f t="shared" si="199"/>
        <v/>
      </c>
      <c r="Z693" s="224" t="str">
        <f>IF(IFERROR(INDEX('tuot-rehukirjanpito'!I:I,MATCH(A693,'tuot-rehukirjanpito'!G:G,0)),)=0,"",INDEX('tuot-rehukirjanpito'!I:I,MATCH(A693,'tuot-rehukirjanpito'!G:G,0)))</f>
        <v/>
      </c>
      <c r="AA693" s="224">
        <f>SUMIFS('tuot-INFO'!$K$10:$K$115,'tuot-INFO'!$A$10:$A$115,'tuot-PVÄ'!B693)</f>
        <v>0</v>
      </c>
      <c r="AB693" s="224">
        <f>SUMIFS('rehu-vesi-INFO'!$R:$R,'rehu-vesi-INFO'!$A:$A,'tuot-PVÄ'!B693)</f>
        <v>1746</v>
      </c>
      <c r="AC693" s="224">
        <f>SUMIFS('rehu-vesi-INFO'!$S:$S,'rehu-vesi-INFO'!$A:$A,'tuot-PVÄ'!B693)</f>
        <v>1853</v>
      </c>
      <c r="AD693" s="224">
        <f t="shared" si="184"/>
        <v>107</v>
      </c>
      <c r="AE693" s="224">
        <f t="shared" si="185"/>
        <v>0</v>
      </c>
      <c r="AF693" s="224">
        <f t="shared" si="186"/>
        <v>174.6</v>
      </c>
      <c r="AG693" s="224">
        <f t="shared" si="187"/>
        <v>10.7</v>
      </c>
      <c r="AH693" s="257">
        <f t="shared" si="189"/>
        <v>0</v>
      </c>
      <c r="AI693" s="258">
        <f t="shared" si="190"/>
        <v>0</v>
      </c>
      <c r="AJ693" s="55">
        <f>SUMIFS('tuot-INFO'!W:W,'tuot-INFO'!$A:$A,'tuot-PVÄ'!B693)</f>
        <v>0</v>
      </c>
      <c r="AK693" s="55">
        <f>SUMIFS('tuot-INFO'!X:X,'tuot-INFO'!$A:$A,'tuot-PVÄ'!B693)</f>
        <v>0</v>
      </c>
    </row>
    <row r="694" spans="1:37" x14ac:dyDescent="0.25">
      <c r="A694" s="169">
        <f t="shared" si="188"/>
        <v>43180</v>
      </c>
      <c r="B694" s="23">
        <f>ROUNDUP((A694-Yleistiedot!$B$4)/7,0)</f>
        <v>116</v>
      </c>
      <c r="C694" s="16"/>
      <c r="D694" s="25"/>
      <c r="E694" s="25"/>
      <c r="F694" s="25"/>
      <c r="G694" s="25"/>
      <c r="H694" s="25"/>
      <c r="I694" s="65">
        <f t="shared" si="183"/>
        <v>0</v>
      </c>
      <c r="J694" s="26"/>
      <c r="K694" s="25"/>
      <c r="L694" s="16"/>
      <c r="M694" s="16"/>
      <c r="N694" s="25"/>
      <c r="O694" s="30"/>
      <c r="P694" s="252">
        <f t="shared" si="195"/>
        <v>9990</v>
      </c>
      <c r="Q694" s="253">
        <f t="shared" si="196"/>
        <v>0</v>
      </c>
      <c r="R694" s="253">
        <f t="shared" si="197"/>
        <v>0</v>
      </c>
      <c r="S694" s="251">
        <f>SUMIFS('tuot-rehukirjanpito'!D:D,'tuot-rehukirjanpito'!A:A,A694)</f>
        <v>0</v>
      </c>
      <c r="T694" s="254">
        <f t="shared" si="191"/>
        <v>1098.9000000000001</v>
      </c>
      <c r="U694" s="254">
        <f t="shared" si="192"/>
        <v>1098.8999999999999</v>
      </c>
      <c r="V694" s="252">
        <f t="shared" si="193"/>
        <v>-760438.80000000959</v>
      </c>
      <c r="W694" s="255">
        <f t="shared" si="194"/>
        <v>-692.00000000000864</v>
      </c>
      <c r="X694" s="256" t="str">
        <f t="shared" si="198"/>
        <v/>
      </c>
      <c r="Y694" s="256" t="str">
        <f t="shared" si="199"/>
        <v/>
      </c>
      <c r="Z694" s="224" t="str">
        <f>IF(IFERROR(INDEX('tuot-rehukirjanpito'!I:I,MATCH(A694,'tuot-rehukirjanpito'!G:G,0)),)=0,"",INDEX('tuot-rehukirjanpito'!I:I,MATCH(A694,'tuot-rehukirjanpito'!G:G,0)))</f>
        <v/>
      </c>
      <c r="AA694" s="224">
        <f>SUMIFS('tuot-INFO'!$K$10:$K$115,'tuot-INFO'!$A$10:$A$115,'tuot-PVÄ'!B694)</f>
        <v>0</v>
      </c>
      <c r="AB694" s="224">
        <f>SUMIFS('rehu-vesi-INFO'!$R:$R,'rehu-vesi-INFO'!$A:$A,'tuot-PVÄ'!B694)</f>
        <v>1746</v>
      </c>
      <c r="AC694" s="224">
        <f>SUMIFS('rehu-vesi-INFO'!$S:$S,'rehu-vesi-INFO'!$A:$A,'tuot-PVÄ'!B694)</f>
        <v>1853</v>
      </c>
      <c r="AD694" s="224">
        <f t="shared" si="184"/>
        <v>107</v>
      </c>
      <c r="AE694" s="224">
        <f t="shared" si="185"/>
        <v>0</v>
      </c>
      <c r="AF694" s="224">
        <f t="shared" si="186"/>
        <v>174.6</v>
      </c>
      <c r="AG694" s="224">
        <f t="shared" si="187"/>
        <v>10.7</v>
      </c>
      <c r="AH694" s="257">
        <f t="shared" si="189"/>
        <v>0</v>
      </c>
      <c r="AI694" s="258">
        <f t="shared" si="190"/>
        <v>0</v>
      </c>
      <c r="AJ694" s="55">
        <f>SUMIFS('tuot-INFO'!W:W,'tuot-INFO'!$A:$A,'tuot-PVÄ'!B694)</f>
        <v>0</v>
      </c>
      <c r="AK694" s="55">
        <f>SUMIFS('tuot-INFO'!X:X,'tuot-INFO'!$A:$A,'tuot-PVÄ'!B694)</f>
        <v>0</v>
      </c>
    </row>
    <row r="695" spans="1:37" x14ac:dyDescent="0.25">
      <c r="A695" s="169">
        <f t="shared" si="188"/>
        <v>43181</v>
      </c>
      <c r="B695" s="23">
        <f>ROUNDUP((A695-Yleistiedot!$B$4)/7,0)</f>
        <v>116</v>
      </c>
      <c r="C695" s="16"/>
      <c r="D695" s="25"/>
      <c r="E695" s="25"/>
      <c r="F695" s="25"/>
      <c r="G695" s="25"/>
      <c r="H695" s="25"/>
      <c r="I695" s="65">
        <f t="shared" si="183"/>
        <v>0</v>
      </c>
      <c r="J695" s="26"/>
      <c r="K695" s="25"/>
      <c r="L695" s="16"/>
      <c r="M695" s="16"/>
      <c r="N695" s="25"/>
      <c r="O695" s="30"/>
      <c r="P695" s="252">
        <f t="shared" si="195"/>
        <v>9990</v>
      </c>
      <c r="Q695" s="253">
        <f t="shared" si="196"/>
        <v>0</v>
      </c>
      <c r="R695" s="253">
        <f t="shared" si="197"/>
        <v>0</v>
      </c>
      <c r="S695" s="251">
        <f>SUMIFS('tuot-rehukirjanpito'!D:D,'tuot-rehukirjanpito'!A:A,A695)</f>
        <v>0</v>
      </c>
      <c r="T695" s="254">
        <f t="shared" si="191"/>
        <v>1098.9000000000001</v>
      </c>
      <c r="U695" s="254">
        <f t="shared" si="192"/>
        <v>1098.8999999999999</v>
      </c>
      <c r="V695" s="252">
        <f t="shared" si="193"/>
        <v>-761537.70000000962</v>
      </c>
      <c r="W695" s="255">
        <f t="shared" si="194"/>
        <v>-693.00000000000864</v>
      </c>
      <c r="X695" s="256" t="str">
        <f t="shared" si="198"/>
        <v/>
      </c>
      <c r="Y695" s="256" t="str">
        <f t="shared" si="199"/>
        <v/>
      </c>
      <c r="Z695" s="224" t="str">
        <f>IF(IFERROR(INDEX('tuot-rehukirjanpito'!I:I,MATCH(A695,'tuot-rehukirjanpito'!G:G,0)),)=0,"",INDEX('tuot-rehukirjanpito'!I:I,MATCH(A695,'tuot-rehukirjanpito'!G:G,0)))</f>
        <v/>
      </c>
      <c r="AA695" s="224">
        <f>SUMIFS('tuot-INFO'!$K$10:$K$115,'tuot-INFO'!$A$10:$A$115,'tuot-PVÄ'!B695)</f>
        <v>0</v>
      </c>
      <c r="AB695" s="224">
        <f>SUMIFS('rehu-vesi-INFO'!$R:$R,'rehu-vesi-INFO'!$A:$A,'tuot-PVÄ'!B695)</f>
        <v>1746</v>
      </c>
      <c r="AC695" s="224">
        <f>SUMIFS('rehu-vesi-INFO'!$S:$S,'rehu-vesi-INFO'!$A:$A,'tuot-PVÄ'!B695)</f>
        <v>1853</v>
      </c>
      <c r="AD695" s="224">
        <f t="shared" si="184"/>
        <v>107</v>
      </c>
      <c r="AE695" s="224">
        <f t="shared" si="185"/>
        <v>0</v>
      </c>
      <c r="AF695" s="224">
        <f t="shared" si="186"/>
        <v>174.6</v>
      </c>
      <c r="AG695" s="224">
        <f t="shared" si="187"/>
        <v>10.7</v>
      </c>
      <c r="AH695" s="257">
        <f t="shared" si="189"/>
        <v>0</v>
      </c>
      <c r="AI695" s="258">
        <f t="shared" si="190"/>
        <v>0</v>
      </c>
      <c r="AJ695" s="55">
        <f>SUMIFS('tuot-INFO'!W:W,'tuot-INFO'!$A:$A,'tuot-PVÄ'!B695)</f>
        <v>0</v>
      </c>
      <c r="AK695" s="55">
        <f>SUMIFS('tuot-INFO'!X:X,'tuot-INFO'!$A:$A,'tuot-PVÄ'!B695)</f>
        <v>0</v>
      </c>
    </row>
    <row r="696" spans="1:37" x14ac:dyDescent="0.25">
      <c r="A696" s="169">
        <f t="shared" si="188"/>
        <v>43182</v>
      </c>
      <c r="B696" s="23">
        <f>ROUNDUP((A696-Yleistiedot!$B$4)/7,0)</f>
        <v>116</v>
      </c>
      <c r="C696" s="16"/>
      <c r="D696" s="25"/>
      <c r="E696" s="25"/>
      <c r="F696" s="25"/>
      <c r="G696" s="25"/>
      <c r="H696" s="25"/>
      <c r="I696" s="65">
        <f t="shared" si="183"/>
        <v>0</v>
      </c>
      <c r="J696" s="26"/>
      <c r="K696" s="25"/>
      <c r="L696" s="16"/>
      <c r="M696" s="16"/>
      <c r="N696" s="25"/>
      <c r="O696" s="30"/>
      <c r="P696" s="252">
        <f t="shared" si="195"/>
        <v>9990</v>
      </c>
      <c r="Q696" s="253">
        <f t="shared" si="196"/>
        <v>0</v>
      </c>
      <c r="R696" s="253">
        <f t="shared" si="197"/>
        <v>0</v>
      </c>
      <c r="S696" s="251">
        <f>SUMIFS('tuot-rehukirjanpito'!D:D,'tuot-rehukirjanpito'!A:A,A696)</f>
        <v>0</v>
      </c>
      <c r="T696" s="254">
        <f t="shared" si="191"/>
        <v>1098.9000000000001</v>
      </c>
      <c r="U696" s="254">
        <f t="shared" si="192"/>
        <v>1098.8999999999999</v>
      </c>
      <c r="V696" s="252">
        <f t="shared" si="193"/>
        <v>-762636.60000000964</v>
      </c>
      <c r="W696" s="255">
        <f t="shared" si="194"/>
        <v>-694.00000000000875</v>
      </c>
      <c r="X696" s="256" t="str">
        <f t="shared" si="198"/>
        <v/>
      </c>
      <c r="Y696" s="256" t="str">
        <f t="shared" si="199"/>
        <v/>
      </c>
      <c r="Z696" s="224" t="str">
        <f>IF(IFERROR(INDEX('tuot-rehukirjanpito'!I:I,MATCH(A696,'tuot-rehukirjanpito'!G:G,0)),)=0,"",INDEX('tuot-rehukirjanpito'!I:I,MATCH(A696,'tuot-rehukirjanpito'!G:G,0)))</f>
        <v/>
      </c>
      <c r="AA696" s="224">
        <f>SUMIFS('tuot-INFO'!$K$10:$K$115,'tuot-INFO'!$A$10:$A$115,'tuot-PVÄ'!B696)</f>
        <v>0</v>
      </c>
      <c r="AB696" s="224">
        <f>SUMIFS('rehu-vesi-INFO'!$R:$R,'rehu-vesi-INFO'!$A:$A,'tuot-PVÄ'!B696)</f>
        <v>1746</v>
      </c>
      <c r="AC696" s="224">
        <f>SUMIFS('rehu-vesi-INFO'!$S:$S,'rehu-vesi-INFO'!$A:$A,'tuot-PVÄ'!B696)</f>
        <v>1853</v>
      </c>
      <c r="AD696" s="224">
        <f t="shared" si="184"/>
        <v>107</v>
      </c>
      <c r="AE696" s="224">
        <f t="shared" si="185"/>
        <v>0</v>
      </c>
      <c r="AF696" s="224">
        <f t="shared" si="186"/>
        <v>174.6</v>
      </c>
      <c r="AG696" s="224">
        <f t="shared" si="187"/>
        <v>10.7</v>
      </c>
      <c r="AH696" s="257">
        <f t="shared" si="189"/>
        <v>0</v>
      </c>
      <c r="AI696" s="258">
        <f t="shared" si="190"/>
        <v>0</v>
      </c>
      <c r="AJ696" s="55">
        <f>SUMIFS('tuot-INFO'!W:W,'tuot-INFO'!$A:$A,'tuot-PVÄ'!B696)</f>
        <v>0</v>
      </c>
      <c r="AK696" s="55">
        <f>SUMIFS('tuot-INFO'!X:X,'tuot-INFO'!$A:$A,'tuot-PVÄ'!B696)</f>
        <v>0</v>
      </c>
    </row>
    <row r="697" spans="1:37" x14ac:dyDescent="0.25">
      <c r="A697" s="169">
        <f t="shared" si="188"/>
        <v>43183</v>
      </c>
      <c r="B697" s="23">
        <f>ROUNDUP((A697-Yleistiedot!$B$4)/7,0)</f>
        <v>117</v>
      </c>
      <c r="C697" s="16"/>
      <c r="D697" s="25"/>
      <c r="E697" s="25"/>
      <c r="F697" s="25"/>
      <c r="G697" s="25"/>
      <c r="H697" s="25"/>
      <c r="I697" s="65">
        <f t="shared" si="183"/>
        <v>0</v>
      </c>
      <c r="J697" s="26"/>
      <c r="K697" s="25"/>
      <c r="L697" s="16"/>
      <c r="M697" s="16"/>
      <c r="N697" s="25"/>
      <c r="O697" s="30"/>
      <c r="P697" s="252">
        <f t="shared" si="195"/>
        <v>9990</v>
      </c>
      <c r="Q697" s="253">
        <f t="shared" si="196"/>
        <v>0</v>
      </c>
      <c r="R697" s="253">
        <f t="shared" si="197"/>
        <v>0</v>
      </c>
      <c r="S697" s="251">
        <f>SUMIFS('tuot-rehukirjanpito'!D:D,'tuot-rehukirjanpito'!A:A,A697)</f>
        <v>0</v>
      </c>
      <c r="T697" s="254">
        <f t="shared" si="191"/>
        <v>1098.9000000000001</v>
      </c>
      <c r="U697" s="254">
        <f t="shared" si="192"/>
        <v>1098.8999999999999</v>
      </c>
      <c r="V697" s="252">
        <f t="shared" si="193"/>
        <v>-763735.50000000966</v>
      </c>
      <c r="W697" s="255">
        <f t="shared" si="194"/>
        <v>-695.00000000000875</v>
      </c>
      <c r="X697" s="256" t="str">
        <f t="shared" si="198"/>
        <v/>
      </c>
      <c r="Y697" s="256" t="str">
        <f t="shared" si="199"/>
        <v/>
      </c>
      <c r="Z697" s="224" t="str">
        <f>IF(IFERROR(INDEX('tuot-rehukirjanpito'!I:I,MATCH(A697,'tuot-rehukirjanpito'!G:G,0)),)=0,"",INDEX('tuot-rehukirjanpito'!I:I,MATCH(A697,'tuot-rehukirjanpito'!G:G,0)))</f>
        <v/>
      </c>
      <c r="AA697" s="224">
        <f>SUMIFS('tuot-INFO'!$K$10:$K$115,'tuot-INFO'!$A$10:$A$115,'tuot-PVÄ'!B697)</f>
        <v>0</v>
      </c>
      <c r="AB697" s="224">
        <f>SUMIFS('rehu-vesi-INFO'!$R:$R,'rehu-vesi-INFO'!$A:$A,'tuot-PVÄ'!B697)</f>
        <v>1746</v>
      </c>
      <c r="AC697" s="224">
        <f>SUMIFS('rehu-vesi-INFO'!$S:$S,'rehu-vesi-INFO'!$A:$A,'tuot-PVÄ'!B697)</f>
        <v>1853</v>
      </c>
      <c r="AD697" s="224">
        <f t="shared" si="184"/>
        <v>107</v>
      </c>
      <c r="AE697" s="224">
        <f t="shared" si="185"/>
        <v>0</v>
      </c>
      <c r="AF697" s="224">
        <f t="shared" si="186"/>
        <v>174.6</v>
      </c>
      <c r="AG697" s="224">
        <f t="shared" si="187"/>
        <v>10.7</v>
      </c>
      <c r="AH697" s="257">
        <f t="shared" si="189"/>
        <v>0</v>
      </c>
      <c r="AI697" s="258">
        <f t="shared" si="190"/>
        <v>0</v>
      </c>
      <c r="AJ697" s="55">
        <f>SUMIFS('tuot-INFO'!W:W,'tuot-INFO'!$A:$A,'tuot-PVÄ'!B697)</f>
        <v>0</v>
      </c>
      <c r="AK697" s="55">
        <f>SUMIFS('tuot-INFO'!X:X,'tuot-INFO'!$A:$A,'tuot-PVÄ'!B697)</f>
        <v>0</v>
      </c>
    </row>
    <row r="698" spans="1:37" x14ac:dyDescent="0.25">
      <c r="A698" s="169">
        <f t="shared" si="188"/>
        <v>43184</v>
      </c>
      <c r="B698" s="23">
        <f>ROUNDUP((A698-Yleistiedot!$B$4)/7,0)</f>
        <v>117</v>
      </c>
      <c r="C698" s="16"/>
      <c r="D698" s="25"/>
      <c r="E698" s="25"/>
      <c r="F698" s="25"/>
      <c r="G698" s="25"/>
      <c r="H698" s="25"/>
      <c r="I698" s="65">
        <f t="shared" si="183"/>
        <v>0</v>
      </c>
      <c r="J698" s="26"/>
      <c r="K698" s="25"/>
      <c r="L698" s="16"/>
      <c r="M698" s="16"/>
      <c r="N698" s="25"/>
      <c r="O698" s="30"/>
      <c r="P698" s="252">
        <f t="shared" si="195"/>
        <v>9990</v>
      </c>
      <c r="Q698" s="253">
        <f t="shared" si="196"/>
        <v>0</v>
      </c>
      <c r="R698" s="253">
        <f t="shared" si="197"/>
        <v>0</v>
      </c>
      <c r="S698" s="251">
        <f>SUMIFS('tuot-rehukirjanpito'!D:D,'tuot-rehukirjanpito'!A:A,A698)</f>
        <v>0</v>
      </c>
      <c r="T698" s="254">
        <f t="shared" si="191"/>
        <v>1098.9000000000001</v>
      </c>
      <c r="U698" s="254">
        <f t="shared" si="192"/>
        <v>1098.8999999999999</v>
      </c>
      <c r="V698" s="252">
        <f t="shared" si="193"/>
        <v>-764834.40000000969</v>
      </c>
      <c r="W698" s="255">
        <f t="shared" si="194"/>
        <v>-696.00000000000875</v>
      </c>
      <c r="X698" s="256" t="str">
        <f t="shared" si="198"/>
        <v/>
      </c>
      <c r="Y698" s="256" t="str">
        <f t="shared" si="199"/>
        <v/>
      </c>
      <c r="Z698" s="224" t="str">
        <f>IF(IFERROR(INDEX('tuot-rehukirjanpito'!I:I,MATCH(A698,'tuot-rehukirjanpito'!G:G,0)),)=0,"",INDEX('tuot-rehukirjanpito'!I:I,MATCH(A698,'tuot-rehukirjanpito'!G:G,0)))</f>
        <v/>
      </c>
      <c r="AA698" s="224">
        <f>SUMIFS('tuot-INFO'!$K$10:$K$115,'tuot-INFO'!$A$10:$A$115,'tuot-PVÄ'!B698)</f>
        <v>0</v>
      </c>
      <c r="AB698" s="224">
        <f>SUMIFS('rehu-vesi-INFO'!$R:$R,'rehu-vesi-INFO'!$A:$A,'tuot-PVÄ'!B698)</f>
        <v>1746</v>
      </c>
      <c r="AC698" s="224">
        <f>SUMIFS('rehu-vesi-INFO'!$S:$S,'rehu-vesi-INFO'!$A:$A,'tuot-PVÄ'!B698)</f>
        <v>1853</v>
      </c>
      <c r="AD698" s="224">
        <f t="shared" si="184"/>
        <v>107</v>
      </c>
      <c r="AE698" s="224">
        <f t="shared" si="185"/>
        <v>0</v>
      </c>
      <c r="AF698" s="224">
        <f t="shared" si="186"/>
        <v>174.6</v>
      </c>
      <c r="AG698" s="224">
        <f t="shared" si="187"/>
        <v>10.7</v>
      </c>
      <c r="AH698" s="257">
        <f t="shared" si="189"/>
        <v>0</v>
      </c>
      <c r="AI698" s="258">
        <f t="shared" si="190"/>
        <v>0</v>
      </c>
      <c r="AJ698" s="55">
        <f>SUMIFS('tuot-INFO'!W:W,'tuot-INFO'!$A:$A,'tuot-PVÄ'!B698)</f>
        <v>0</v>
      </c>
      <c r="AK698" s="55">
        <f>SUMIFS('tuot-INFO'!X:X,'tuot-INFO'!$A:$A,'tuot-PVÄ'!B698)</f>
        <v>0</v>
      </c>
    </row>
    <row r="699" spans="1:37" x14ac:dyDescent="0.25">
      <c r="A699" s="169">
        <f t="shared" si="188"/>
        <v>43185</v>
      </c>
      <c r="B699" s="23">
        <f>ROUNDUP((A699-Yleistiedot!$B$4)/7,0)</f>
        <v>117</v>
      </c>
      <c r="C699" s="16"/>
      <c r="D699" s="25"/>
      <c r="E699" s="25"/>
      <c r="F699" s="25"/>
      <c r="G699" s="25"/>
      <c r="H699" s="25"/>
      <c r="I699" s="65">
        <f t="shared" si="183"/>
        <v>0</v>
      </c>
      <c r="J699" s="26"/>
      <c r="K699" s="25"/>
      <c r="L699" s="16"/>
      <c r="M699" s="16"/>
      <c r="N699" s="25"/>
      <c r="O699" s="30"/>
      <c r="P699" s="252">
        <f t="shared" si="195"/>
        <v>9990</v>
      </c>
      <c r="Q699" s="253">
        <f t="shared" si="196"/>
        <v>0</v>
      </c>
      <c r="R699" s="253">
        <f t="shared" si="197"/>
        <v>0</v>
      </c>
      <c r="S699" s="251">
        <f>SUMIFS('tuot-rehukirjanpito'!D:D,'tuot-rehukirjanpito'!A:A,A699)</f>
        <v>0</v>
      </c>
      <c r="T699" s="254">
        <f t="shared" si="191"/>
        <v>1098.9000000000001</v>
      </c>
      <c r="U699" s="254">
        <f t="shared" si="192"/>
        <v>1098.8999999999999</v>
      </c>
      <c r="V699" s="252">
        <f t="shared" si="193"/>
        <v>-765933.30000000971</v>
      </c>
      <c r="W699" s="255">
        <f t="shared" si="194"/>
        <v>-697.00000000000875</v>
      </c>
      <c r="X699" s="256" t="str">
        <f t="shared" si="198"/>
        <v/>
      </c>
      <c r="Y699" s="256" t="str">
        <f t="shared" si="199"/>
        <v/>
      </c>
      <c r="Z699" s="224" t="str">
        <f>IF(IFERROR(INDEX('tuot-rehukirjanpito'!I:I,MATCH(A699,'tuot-rehukirjanpito'!G:G,0)),)=0,"",INDEX('tuot-rehukirjanpito'!I:I,MATCH(A699,'tuot-rehukirjanpito'!G:G,0)))</f>
        <v/>
      </c>
      <c r="AA699" s="224">
        <f>SUMIFS('tuot-INFO'!$K$10:$K$115,'tuot-INFO'!$A$10:$A$115,'tuot-PVÄ'!B699)</f>
        <v>0</v>
      </c>
      <c r="AB699" s="224">
        <f>SUMIFS('rehu-vesi-INFO'!$R:$R,'rehu-vesi-INFO'!$A:$A,'tuot-PVÄ'!B699)</f>
        <v>1746</v>
      </c>
      <c r="AC699" s="224">
        <f>SUMIFS('rehu-vesi-INFO'!$S:$S,'rehu-vesi-INFO'!$A:$A,'tuot-PVÄ'!B699)</f>
        <v>1853</v>
      </c>
      <c r="AD699" s="224">
        <f t="shared" si="184"/>
        <v>107</v>
      </c>
      <c r="AE699" s="224">
        <f t="shared" si="185"/>
        <v>0</v>
      </c>
      <c r="AF699" s="224">
        <f t="shared" si="186"/>
        <v>174.6</v>
      </c>
      <c r="AG699" s="224">
        <f t="shared" si="187"/>
        <v>10.7</v>
      </c>
      <c r="AH699" s="257">
        <f t="shared" si="189"/>
        <v>0</v>
      </c>
      <c r="AI699" s="258">
        <f t="shared" si="190"/>
        <v>0</v>
      </c>
      <c r="AJ699" s="55">
        <f>SUMIFS('tuot-INFO'!W:W,'tuot-INFO'!$A:$A,'tuot-PVÄ'!B699)</f>
        <v>0</v>
      </c>
      <c r="AK699" s="55">
        <f>SUMIFS('tuot-INFO'!X:X,'tuot-INFO'!$A:$A,'tuot-PVÄ'!B699)</f>
        <v>0</v>
      </c>
    </row>
    <row r="700" spans="1:37" x14ac:dyDescent="0.25">
      <c r="A700" s="169">
        <f t="shared" si="188"/>
        <v>43186</v>
      </c>
      <c r="B700" s="23">
        <f>ROUNDUP((A700-Yleistiedot!$B$4)/7,0)</f>
        <v>117</v>
      </c>
      <c r="C700" s="16"/>
      <c r="D700" s="25"/>
      <c r="E700" s="25"/>
      <c r="F700" s="25"/>
      <c r="G700" s="25"/>
      <c r="H700" s="25"/>
      <c r="I700" s="65">
        <f t="shared" si="183"/>
        <v>0</v>
      </c>
      <c r="J700" s="26"/>
      <c r="K700" s="25"/>
      <c r="L700" s="16"/>
      <c r="M700" s="16"/>
      <c r="N700" s="25"/>
      <c r="O700" s="30"/>
      <c r="P700" s="252">
        <f t="shared" si="195"/>
        <v>9990</v>
      </c>
      <c r="Q700" s="253">
        <f t="shared" si="196"/>
        <v>0</v>
      </c>
      <c r="R700" s="253">
        <f t="shared" si="197"/>
        <v>0</v>
      </c>
      <c r="S700" s="251">
        <f>SUMIFS('tuot-rehukirjanpito'!D:D,'tuot-rehukirjanpito'!A:A,A700)</f>
        <v>0</v>
      </c>
      <c r="T700" s="254">
        <f t="shared" si="191"/>
        <v>1098.9000000000001</v>
      </c>
      <c r="U700" s="254">
        <f t="shared" si="192"/>
        <v>1098.8999999999999</v>
      </c>
      <c r="V700" s="252">
        <f t="shared" si="193"/>
        <v>-767032.20000000973</v>
      </c>
      <c r="W700" s="255">
        <f t="shared" si="194"/>
        <v>-698.00000000000875</v>
      </c>
      <c r="X700" s="256" t="str">
        <f t="shared" si="198"/>
        <v/>
      </c>
      <c r="Y700" s="256" t="str">
        <f t="shared" si="199"/>
        <v/>
      </c>
      <c r="Z700" s="224" t="str">
        <f>IF(IFERROR(INDEX('tuot-rehukirjanpito'!I:I,MATCH(A700,'tuot-rehukirjanpito'!G:G,0)),)=0,"",INDEX('tuot-rehukirjanpito'!I:I,MATCH(A700,'tuot-rehukirjanpito'!G:G,0)))</f>
        <v/>
      </c>
      <c r="AA700" s="224">
        <f>SUMIFS('tuot-INFO'!$K$10:$K$115,'tuot-INFO'!$A$10:$A$115,'tuot-PVÄ'!B700)</f>
        <v>0</v>
      </c>
      <c r="AB700" s="224">
        <f>SUMIFS('rehu-vesi-INFO'!$R:$R,'rehu-vesi-INFO'!$A:$A,'tuot-PVÄ'!B700)</f>
        <v>1746</v>
      </c>
      <c r="AC700" s="224">
        <f>SUMIFS('rehu-vesi-INFO'!$S:$S,'rehu-vesi-INFO'!$A:$A,'tuot-PVÄ'!B700)</f>
        <v>1853</v>
      </c>
      <c r="AD700" s="224">
        <f t="shared" si="184"/>
        <v>107</v>
      </c>
      <c r="AE700" s="224">
        <f t="shared" si="185"/>
        <v>0</v>
      </c>
      <c r="AF700" s="224">
        <f t="shared" si="186"/>
        <v>174.6</v>
      </c>
      <c r="AG700" s="224">
        <f t="shared" si="187"/>
        <v>10.7</v>
      </c>
      <c r="AH700" s="257">
        <f t="shared" si="189"/>
        <v>0</v>
      </c>
      <c r="AI700" s="258">
        <f t="shared" si="190"/>
        <v>0</v>
      </c>
      <c r="AJ700" s="55">
        <f>SUMIFS('tuot-INFO'!W:W,'tuot-INFO'!$A:$A,'tuot-PVÄ'!B700)</f>
        <v>0</v>
      </c>
      <c r="AK700" s="55">
        <f>SUMIFS('tuot-INFO'!X:X,'tuot-INFO'!$A:$A,'tuot-PVÄ'!B700)</f>
        <v>0</v>
      </c>
    </row>
    <row r="701" spans="1:37" x14ac:dyDescent="0.25">
      <c r="A701" s="169">
        <f t="shared" si="188"/>
        <v>43187</v>
      </c>
      <c r="B701" s="23">
        <f>ROUNDUP((A701-Yleistiedot!$B$4)/7,0)</f>
        <v>117</v>
      </c>
      <c r="C701" s="16"/>
      <c r="D701" s="25"/>
      <c r="E701" s="25"/>
      <c r="F701" s="25"/>
      <c r="G701" s="25"/>
      <c r="H701" s="25"/>
      <c r="I701" s="65">
        <f t="shared" si="183"/>
        <v>0</v>
      </c>
      <c r="J701" s="26"/>
      <c r="K701" s="25"/>
      <c r="L701" s="16"/>
      <c r="M701" s="16"/>
      <c r="N701" s="25"/>
      <c r="O701" s="30"/>
      <c r="P701" s="252">
        <f t="shared" si="195"/>
        <v>9990</v>
      </c>
      <c r="Q701" s="253">
        <f t="shared" si="196"/>
        <v>0</v>
      </c>
      <c r="R701" s="253">
        <f t="shared" si="197"/>
        <v>0</v>
      </c>
      <c r="S701" s="251">
        <f>SUMIFS('tuot-rehukirjanpito'!D:D,'tuot-rehukirjanpito'!A:A,A701)</f>
        <v>0</v>
      </c>
      <c r="T701" s="254">
        <f t="shared" si="191"/>
        <v>1098.9000000000001</v>
      </c>
      <c r="U701" s="254">
        <f t="shared" si="192"/>
        <v>1098.8999999999999</v>
      </c>
      <c r="V701" s="252">
        <f t="shared" si="193"/>
        <v>-768131.10000000976</v>
      </c>
      <c r="W701" s="255">
        <f t="shared" si="194"/>
        <v>-699.00000000000887</v>
      </c>
      <c r="X701" s="256" t="str">
        <f t="shared" si="198"/>
        <v/>
      </c>
      <c r="Y701" s="256" t="str">
        <f t="shared" si="199"/>
        <v/>
      </c>
      <c r="Z701" s="224" t="str">
        <f>IF(IFERROR(INDEX('tuot-rehukirjanpito'!I:I,MATCH(A701,'tuot-rehukirjanpito'!G:G,0)),)=0,"",INDEX('tuot-rehukirjanpito'!I:I,MATCH(A701,'tuot-rehukirjanpito'!G:G,0)))</f>
        <v/>
      </c>
      <c r="AA701" s="224">
        <f>SUMIFS('tuot-INFO'!$K$10:$K$115,'tuot-INFO'!$A$10:$A$115,'tuot-PVÄ'!B701)</f>
        <v>0</v>
      </c>
      <c r="AB701" s="224">
        <f>SUMIFS('rehu-vesi-INFO'!$R:$R,'rehu-vesi-INFO'!$A:$A,'tuot-PVÄ'!B701)</f>
        <v>1746</v>
      </c>
      <c r="AC701" s="224">
        <f>SUMIFS('rehu-vesi-INFO'!$S:$S,'rehu-vesi-INFO'!$A:$A,'tuot-PVÄ'!B701)</f>
        <v>1853</v>
      </c>
      <c r="AD701" s="224">
        <f t="shared" si="184"/>
        <v>107</v>
      </c>
      <c r="AE701" s="224">
        <f t="shared" si="185"/>
        <v>0</v>
      </c>
      <c r="AF701" s="224">
        <f t="shared" si="186"/>
        <v>174.6</v>
      </c>
      <c r="AG701" s="224">
        <f t="shared" si="187"/>
        <v>10.7</v>
      </c>
      <c r="AH701" s="257">
        <f t="shared" si="189"/>
        <v>0</v>
      </c>
      <c r="AI701" s="258">
        <f t="shared" si="190"/>
        <v>0</v>
      </c>
      <c r="AJ701" s="55">
        <f>SUMIFS('tuot-INFO'!W:W,'tuot-INFO'!$A:$A,'tuot-PVÄ'!B701)</f>
        <v>0</v>
      </c>
      <c r="AK701" s="55">
        <f>SUMIFS('tuot-INFO'!X:X,'tuot-INFO'!$A:$A,'tuot-PVÄ'!B701)</f>
        <v>0</v>
      </c>
    </row>
    <row r="702" spans="1:37" x14ac:dyDescent="0.25">
      <c r="A702" s="169">
        <f t="shared" si="188"/>
        <v>43188</v>
      </c>
      <c r="B702" s="23">
        <f>ROUNDUP((A702-Yleistiedot!$B$4)/7,0)</f>
        <v>117</v>
      </c>
      <c r="C702" s="16"/>
      <c r="D702" s="25"/>
      <c r="E702" s="25"/>
      <c r="F702" s="25"/>
      <c r="G702" s="25"/>
      <c r="H702" s="25"/>
      <c r="I702" s="65">
        <f t="shared" si="183"/>
        <v>0</v>
      </c>
      <c r="J702" s="26"/>
      <c r="K702" s="25"/>
      <c r="L702" s="16"/>
      <c r="M702" s="16"/>
      <c r="N702" s="25"/>
      <c r="O702" s="30"/>
      <c r="P702" s="252">
        <f t="shared" si="195"/>
        <v>9990</v>
      </c>
      <c r="Q702" s="253">
        <f t="shared" si="196"/>
        <v>0</v>
      </c>
      <c r="R702" s="253">
        <f t="shared" si="197"/>
        <v>0</v>
      </c>
      <c r="S702" s="251">
        <f>SUMIFS('tuot-rehukirjanpito'!D:D,'tuot-rehukirjanpito'!A:A,A702)</f>
        <v>0</v>
      </c>
      <c r="T702" s="254">
        <f t="shared" si="191"/>
        <v>1098.9000000000001</v>
      </c>
      <c r="U702" s="254">
        <f t="shared" si="192"/>
        <v>1098.8999999999999</v>
      </c>
      <c r="V702" s="252">
        <f t="shared" si="193"/>
        <v>-769230.00000000978</v>
      </c>
      <c r="W702" s="255">
        <f t="shared" si="194"/>
        <v>-700.00000000000887</v>
      </c>
      <c r="X702" s="256" t="str">
        <f t="shared" si="198"/>
        <v/>
      </c>
      <c r="Y702" s="256" t="str">
        <f t="shared" si="199"/>
        <v/>
      </c>
      <c r="Z702" s="224" t="str">
        <f>IF(IFERROR(INDEX('tuot-rehukirjanpito'!I:I,MATCH(A702,'tuot-rehukirjanpito'!G:G,0)),)=0,"",INDEX('tuot-rehukirjanpito'!I:I,MATCH(A702,'tuot-rehukirjanpito'!G:G,0)))</f>
        <v/>
      </c>
      <c r="AA702" s="224">
        <f>SUMIFS('tuot-INFO'!$K$10:$K$115,'tuot-INFO'!$A$10:$A$115,'tuot-PVÄ'!B702)</f>
        <v>0</v>
      </c>
      <c r="AB702" s="224">
        <f>SUMIFS('rehu-vesi-INFO'!$R:$R,'rehu-vesi-INFO'!$A:$A,'tuot-PVÄ'!B702)</f>
        <v>1746</v>
      </c>
      <c r="AC702" s="224">
        <f>SUMIFS('rehu-vesi-INFO'!$S:$S,'rehu-vesi-INFO'!$A:$A,'tuot-PVÄ'!B702)</f>
        <v>1853</v>
      </c>
      <c r="AD702" s="224">
        <f t="shared" si="184"/>
        <v>107</v>
      </c>
      <c r="AE702" s="224">
        <f t="shared" si="185"/>
        <v>0</v>
      </c>
      <c r="AF702" s="224">
        <f t="shared" si="186"/>
        <v>174.6</v>
      </c>
      <c r="AG702" s="224">
        <f t="shared" si="187"/>
        <v>10.7</v>
      </c>
      <c r="AH702" s="257">
        <f t="shared" si="189"/>
        <v>0</v>
      </c>
      <c r="AI702" s="258">
        <f t="shared" si="190"/>
        <v>0</v>
      </c>
      <c r="AJ702" s="55">
        <f>SUMIFS('tuot-INFO'!W:W,'tuot-INFO'!$A:$A,'tuot-PVÄ'!B702)</f>
        <v>0</v>
      </c>
      <c r="AK702" s="55">
        <f>SUMIFS('tuot-INFO'!X:X,'tuot-INFO'!$A:$A,'tuot-PVÄ'!B702)</f>
        <v>0</v>
      </c>
    </row>
    <row r="703" spans="1:37" x14ac:dyDescent="0.25">
      <c r="A703" s="169">
        <f t="shared" si="188"/>
        <v>43189</v>
      </c>
      <c r="B703" s="23">
        <f>ROUNDUP((A703-Yleistiedot!$B$4)/7,0)</f>
        <v>117</v>
      </c>
      <c r="C703" s="16"/>
      <c r="D703" s="25"/>
      <c r="E703" s="25"/>
      <c r="F703" s="25"/>
      <c r="G703" s="25"/>
      <c r="H703" s="25"/>
      <c r="I703" s="65">
        <f t="shared" si="183"/>
        <v>0</v>
      </c>
      <c r="J703" s="26"/>
      <c r="K703" s="25"/>
      <c r="L703" s="16"/>
      <c r="M703" s="16"/>
      <c r="N703" s="25"/>
      <c r="O703" s="30"/>
      <c r="P703" s="252">
        <f t="shared" si="195"/>
        <v>9990</v>
      </c>
      <c r="Q703" s="253">
        <f t="shared" si="196"/>
        <v>0</v>
      </c>
      <c r="R703" s="253">
        <f t="shared" si="197"/>
        <v>0</v>
      </c>
      <c r="S703" s="251">
        <f>SUMIFS('tuot-rehukirjanpito'!D:D,'tuot-rehukirjanpito'!A:A,A703)</f>
        <v>0</v>
      </c>
      <c r="T703" s="254">
        <f t="shared" si="191"/>
        <v>1098.9000000000001</v>
      </c>
      <c r="U703" s="254">
        <f t="shared" si="192"/>
        <v>1098.8999999999999</v>
      </c>
      <c r="V703" s="252">
        <f t="shared" si="193"/>
        <v>-770328.9000000098</v>
      </c>
      <c r="W703" s="255">
        <f t="shared" si="194"/>
        <v>-701.00000000000887</v>
      </c>
      <c r="X703" s="256" t="str">
        <f t="shared" si="198"/>
        <v/>
      </c>
      <c r="Y703" s="256" t="str">
        <f t="shared" si="199"/>
        <v/>
      </c>
      <c r="Z703" s="224" t="str">
        <f>IF(IFERROR(INDEX('tuot-rehukirjanpito'!I:I,MATCH(A703,'tuot-rehukirjanpito'!G:G,0)),)=0,"",INDEX('tuot-rehukirjanpito'!I:I,MATCH(A703,'tuot-rehukirjanpito'!G:G,0)))</f>
        <v/>
      </c>
      <c r="AA703" s="224">
        <f>SUMIFS('tuot-INFO'!$K$10:$K$115,'tuot-INFO'!$A$10:$A$115,'tuot-PVÄ'!B703)</f>
        <v>0</v>
      </c>
      <c r="AB703" s="224">
        <f>SUMIFS('rehu-vesi-INFO'!$R:$R,'rehu-vesi-INFO'!$A:$A,'tuot-PVÄ'!B703)</f>
        <v>1746</v>
      </c>
      <c r="AC703" s="224">
        <f>SUMIFS('rehu-vesi-INFO'!$S:$S,'rehu-vesi-INFO'!$A:$A,'tuot-PVÄ'!B703)</f>
        <v>1853</v>
      </c>
      <c r="AD703" s="224">
        <f t="shared" si="184"/>
        <v>107</v>
      </c>
      <c r="AE703" s="224">
        <f t="shared" si="185"/>
        <v>0</v>
      </c>
      <c r="AF703" s="224">
        <f t="shared" si="186"/>
        <v>174.6</v>
      </c>
      <c r="AG703" s="224">
        <f t="shared" si="187"/>
        <v>10.7</v>
      </c>
      <c r="AH703" s="257">
        <f t="shared" si="189"/>
        <v>0</v>
      </c>
      <c r="AI703" s="258">
        <f t="shared" si="190"/>
        <v>0</v>
      </c>
      <c r="AJ703" s="55">
        <f>SUMIFS('tuot-INFO'!W:W,'tuot-INFO'!$A:$A,'tuot-PVÄ'!B703)</f>
        <v>0</v>
      </c>
      <c r="AK703" s="55">
        <f>SUMIFS('tuot-INFO'!X:X,'tuot-INFO'!$A:$A,'tuot-PVÄ'!B703)</f>
        <v>0</v>
      </c>
    </row>
    <row r="704" spans="1:37" x14ac:dyDescent="0.25">
      <c r="A704" s="169">
        <f t="shared" si="188"/>
        <v>43190</v>
      </c>
      <c r="B704" s="23">
        <f>ROUNDUP((A704-Yleistiedot!$B$4)/7,0)</f>
        <v>118</v>
      </c>
      <c r="C704" s="16"/>
      <c r="D704" s="25"/>
      <c r="E704" s="25"/>
      <c r="F704" s="25"/>
      <c r="G704" s="25"/>
      <c r="H704" s="25"/>
      <c r="I704" s="65">
        <f t="shared" si="183"/>
        <v>0</v>
      </c>
      <c r="J704" s="26"/>
      <c r="K704" s="25"/>
      <c r="L704" s="16"/>
      <c r="M704" s="16"/>
      <c r="N704" s="25"/>
      <c r="O704" s="30"/>
      <c r="P704" s="252">
        <f t="shared" si="195"/>
        <v>9990</v>
      </c>
      <c r="Q704" s="253">
        <f t="shared" si="196"/>
        <v>0</v>
      </c>
      <c r="R704" s="253">
        <f t="shared" si="197"/>
        <v>0</v>
      </c>
      <c r="S704" s="251">
        <f>SUMIFS('tuot-rehukirjanpito'!D:D,'tuot-rehukirjanpito'!A:A,A704)</f>
        <v>0</v>
      </c>
      <c r="T704" s="254">
        <f t="shared" si="191"/>
        <v>1098.9000000000001</v>
      </c>
      <c r="U704" s="254">
        <f t="shared" si="192"/>
        <v>1098.8999999999999</v>
      </c>
      <c r="V704" s="252">
        <f t="shared" si="193"/>
        <v>-771427.80000000983</v>
      </c>
      <c r="W704" s="255">
        <f t="shared" si="194"/>
        <v>-702.00000000000887</v>
      </c>
      <c r="X704" s="256" t="str">
        <f t="shared" si="198"/>
        <v/>
      </c>
      <c r="Y704" s="256" t="str">
        <f t="shared" si="199"/>
        <v/>
      </c>
      <c r="Z704" s="224" t="str">
        <f>IF(IFERROR(INDEX('tuot-rehukirjanpito'!I:I,MATCH(A704,'tuot-rehukirjanpito'!G:G,0)),)=0,"",INDEX('tuot-rehukirjanpito'!I:I,MATCH(A704,'tuot-rehukirjanpito'!G:G,0)))</f>
        <v/>
      </c>
      <c r="AA704" s="224">
        <f>SUMIFS('tuot-INFO'!$K$10:$K$115,'tuot-INFO'!$A$10:$A$115,'tuot-PVÄ'!B704)</f>
        <v>0</v>
      </c>
      <c r="AB704" s="224">
        <f>SUMIFS('rehu-vesi-INFO'!$R:$R,'rehu-vesi-INFO'!$A:$A,'tuot-PVÄ'!B704)</f>
        <v>1746</v>
      </c>
      <c r="AC704" s="224">
        <f>SUMIFS('rehu-vesi-INFO'!$S:$S,'rehu-vesi-INFO'!$A:$A,'tuot-PVÄ'!B704)</f>
        <v>1853</v>
      </c>
      <c r="AD704" s="224">
        <f t="shared" si="184"/>
        <v>107</v>
      </c>
      <c r="AE704" s="224">
        <f t="shared" si="185"/>
        <v>0</v>
      </c>
      <c r="AF704" s="224">
        <f t="shared" si="186"/>
        <v>174.6</v>
      </c>
      <c r="AG704" s="224">
        <f t="shared" si="187"/>
        <v>10.7</v>
      </c>
      <c r="AH704" s="257">
        <f t="shared" si="189"/>
        <v>0</v>
      </c>
      <c r="AI704" s="258">
        <f t="shared" si="190"/>
        <v>0</v>
      </c>
      <c r="AJ704" s="55">
        <f>SUMIFS('tuot-INFO'!W:W,'tuot-INFO'!$A:$A,'tuot-PVÄ'!B704)</f>
        <v>0</v>
      </c>
      <c r="AK704" s="55">
        <f>SUMIFS('tuot-INFO'!X:X,'tuot-INFO'!$A:$A,'tuot-PVÄ'!B704)</f>
        <v>0</v>
      </c>
    </row>
    <row r="705" spans="1:37" x14ac:dyDescent="0.25">
      <c r="A705" s="169">
        <f t="shared" si="188"/>
        <v>43191</v>
      </c>
      <c r="B705" s="23">
        <f>ROUNDUP((A705-Yleistiedot!$B$4)/7,0)</f>
        <v>118</v>
      </c>
      <c r="C705" s="16"/>
      <c r="D705" s="25"/>
      <c r="E705" s="25"/>
      <c r="F705" s="25"/>
      <c r="G705" s="25"/>
      <c r="H705" s="25"/>
      <c r="I705" s="65">
        <f t="shared" si="183"/>
        <v>0</v>
      </c>
      <c r="J705" s="26"/>
      <c r="K705" s="25"/>
      <c r="L705" s="16"/>
      <c r="M705" s="16"/>
      <c r="N705" s="25"/>
      <c r="O705" s="30"/>
      <c r="P705" s="252">
        <f t="shared" si="195"/>
        <v>9990</v>
      </c>
      <c r="Q705" s="253">
        <f t="shared" si="196"/>
        <v>0</v>
      </c>
      <c r="R705" s="253">
        <f t="shared" si="197"/>
        <v>0</v>
      </c>
      <c r="S705" s="251">
        <f>SUMIFS('tuot-rehukirjanpito'!D:D,'tuot-rehukirjanpito'!A:A,A705)</f>
        <v>0</v>
      </c>
      <c r="T705" s="254">
        <f t="shared" si="191"/>
        <v>1098.9000000000001</v>
      </c>
      <c r="U705" s="254">
        <f t="shared" si="192"/>
        <v>1098.8999999999999</v>
      </c>
      <c r="V705" s="252">
        <f t="shared" si="193"/>
        <v>-772526.70000000985</v>
      </c>
      <c r="W705" s="255">
        <f t="shared" si="194"/>
        <v>-703.00000000000887</v>
      </c>
      <c r="X705" s="256" t="str">
        <f t="shared" si="198"/>
        <v/>
      </c>
      <c r="Y705" s="256" t="str">
        <f t="shared" si="199"/>
        <v/>
      </c>
      <c r="Z705" s="224" t="str">
        <f>IF(IFERROR(INDEX('tuot-rehukirjanpito'!I:I,MATCH(A705,'tuot-rehukirjanpito'!G:G,0)),)=0,"",INDEX('tuot-rehukirjanpito'!I:I,MATCH(A705,'tuot-rehukirjanpito'!G:G,0)))</f>
        <v/>
      </c>
      <c r="AA705" s="224">
        <f>SUMIFS('tuot-INFO'!$K$10:$K$115,'tuot-INFO'!$A$10:$A$115,'tuot-PVÄ'!B705)</f>
        <v>0</v>
      </c>
      <c r="AB705" s="224">
        <f>SUMIFS('rehu-vesi-INFO'!$R:$R,'rehu-vesi-INFO'!$A:$A,'tuot-PVÄ'!B705)</f>
        <v>1746</v>
      </c>
      <c r="AC705" s="224">
        <f>SUMIFS('rehu-vesi-INFO'!$S:$S,'rehu-vesi-INFO'!$A:$A,'tuot-PVÄ'!B705)</f>
        <v>1853</v>
      </c>
      <c r="AD705" s="224">
        <f t="shared" si="184"/>
        <v>107</v>
      </c>
      <c r="AE705" s="224">
        <f t="shared" si="185"/>
        <v>0</v>
      </c>
      <c r="AF705" s="224">
        <f t="shared" si="186"/>
        <v>174.6</v>
      </c>
      <c r="AG705" s="224">
        <f t="shared" si="187"/>
        <v>10.7</v>
      </c>
      <c r="AH705" s="257">
        <f t="shared" si="189"/>
        <v>0</v>
      </c>
      <c r="AI705" s="258">
        <f t="shared" si="190"/>
        <v>0</v>
      </c>
      <c r="AJ705" s="55">
        <f>SUMIFS('tuot-INFO'!W:W,'tuot-INFO'!$A:$A,'tuot-PVÄ'!B705)</f>
        <v>0</v>
      </c>
      <c r="AK705" s="55">
        <f>SUMIFS('tuot-INFO'!X:X,'tuot-INFO'!$A:$A,'tuot-PVÄ'!B705)</f>
        <v>0</v>
      </c>
    </row>
    <row r="706" spans="1:37" x14ac:dyDescent="0.25">
      <c r="A706" s="169">
        <f t="shared" si="188"/>
        <v>43192</v>
      </c>
      <c r="B706" s="23">
        <f>ROUNDUP((A706-Yleistiedot!$B$4)/7,0)</f>
        <v>118</v>
      </c>
      <c r="C706" s="16"/>
      <c r="D706" s="25"/>
      <c r="E706" s="25"/>
      <c r="F706" s="25"/>
      <c r="G706" s="25"/>
      <c r="H706" s="25"/>
      <c r="I706" s="65">
        <f t="shared" si="183"/>
        <v>0</v>
      </c>
      <c r="J706" s="26"/>
      <c r="K706" s="25"/>
      <c r="L706" s="16"/>
      <c r="M706" s="16"/>
      <c r="N706" s="25"/>
      <c r="O706" s="30"/>
      <c r="P706" s="252">
        <f t="shared" si="195"/>
        <v>9990</v>
      </c>
      <c r="Q706" s="253">
        <f t="shared" si="196"/>
        <v>0</v>
      </c>
      <c r="R706" s="253">
        <f t="shared" si="197"/>
        <v>0</v>
      </c>
      <c r="S706" s="251">
        <f>SUMIFS('tuot-rehukirjanpito'!D:D,'tuot-rehukirjanpito'!A:A,A706)</f>
        <v>0</v>
      </c>
      <c r="T706" s="254">
        <f t="shared" si="191"/>
        <v>1098.9000000000001</v>
      </c>
      <c r="U706" s="254">
        <f t="shared" si="192"/>
        <v>1098.8999999999999</v>
      </c>
      <c r="V706" s="252">
        <f t="shared" si="193"/>
        <v>-773625.60000000987</v>
      </c>
      <c r="W706" s="255">
        <f t="shared" si="194"/>
        <v>-704.00000000000898</v>
      </c>
      <c r="X706" s="256" t="str">
        <f t="shared" si="198"/>
        <v/>
      </c>
      <c r="Y706" s="256" t="str">
        <f t="shared" si="199"/>
        <v/>
      </c>
      <c r="Z706" s="224" t="str">
        <f>IF(IFERROR(INDEX('tuot-rehukirjanpito'!I:I,MATCH(A706,'tuot-rehukirjanpito'!G:G,0)),)=0,"",INDEX('tuot-rehukirjanpito'!I:I,MATCH(A706,'tuot-rehukirjanpito'!G:G,0)))</f>
        <v/>
      </c>
      <c r="AA706" s="224">
        <f>SUMIFS('tuot-INFO'!$K$10:$K$115,'tuot-INFO'!$A$10:$A$115,'tuot-PVÄ'!B706)</f>
        <v>0</v>
      </c>
      <c r="AB706" s="224">
        <f>SUMIFS('rehu-vesi-INFO'!$R:$R,'rehu-vesi-INFO'!$A:$A,'tuot-PVÄ'!B706)</f>
        <v>1746</v>
      </c>
      <c r="AC706" s="224">
        <f>SUMIFS('rehu-vesi-INFO'!$S:$S,'rehu-vesi-INFO'!$A:$A,'tuot-PVÄ'!B706)</f>
        <v>1853</v>
      </c>
      <c r="AD706" s="224">
        <f t="shared" si="184"/>
        <v>107</v>
      </c>
      <c r="AE706" s="224">
        <f t="shared" si="185"/>
        <v>0</v>
      </c>
      <c r="AF706" s="224">
        <f t="shared" si="186"/>
        <v>174.6</v>
      </c>
      <c r="AG706" s="224">
        <f t="shared" si="187"/>
        <v>10.7</v>
      </c>
      <c r="AH706" s="257">
        <f t="shared" si="189"/>
        <v>0</v>
      </c>
      <c r="AI706" s="258">
        <f t="shared" si="190"/>
        <v>0</v>
      </c>
      <c r="AJ706" s="55">
        <f>SUMIFS('tuot-INFO'!W:W,'tuot-INFO'!$A:$A,'tuot-PVÄ'!B706)</f>
        <v>0</v>
      </c>
      <c r="AK706" s="55">
        <f>SUMIFS('tuot-INFO'!X:X,'tuot-INFO'!$A:$A,'tuot-PVÄ'!B706)</f>
        <v>0</v>
      </c>
    </row>
    <row r="707" spans="1:37" x14ac:dyDescent="0.25">
      <c r="A707" s="169">
        <f t="shared" si="188"/>
        <v>43193</v>
      </c>
      <c r="B707" s="23">
        <f>ROUNDUP((A707-Yleistiedot!$B$4)/7,0)</f>
        <v>118</v>
      </c>
      <c r="C707" s="16"/>
      <c r="D707" s="25"/>
      <c r="E707" s="25"/>
      <c r="F707" s="25"/>
      <c r="G707" s="25"/>
      <c r="H707" s="25"/>
      <c r="I707" s="65">
        <f t="shared" si="183"/>
        <v>0</v>
      </c>
      <c r="J707" s="26"/>
      <c r="K707" s="25"/>
      <c r="L707" s="16"/>
      <c r="M707" s="16"/>
      <c r="N707" s="25"/>
      <c r="O707" s="30"/>
      <c r="P707" s="252">
        <f t="shared" si="195"/>
        <v>9990</v>
      </c>
      <c r="Q707" s="253">
        <f t="shared" si="196"/>
        <v>0</v>
      </c>
      <c r="R707" s="253">
        <f t="shared" si="197"/>
        <v>0</v>
      </c>
      <c r="S707" s="251">
        <f>SUMIFS('tuot-rehukirjanpito'!D:D,'tuot-rehukirjanpito'!A:A,A707)</f>
        <v>0</v>
      </c>
      <c r="T707" s="254">
        <f t="shared" si="191"/>
        <v>1098.9000000000001</v>
      </c>
      <c r="U707" s="254">
        <f t="shared" si="192"/>
        <v>1098.8999999999999</v>
      </c>
      <c r="V707" s="252">
        <f t="shared" si="193"/>
        <v>-774724.5000000099</v>
      </c>
      <c r="W707" s="255">
        <f t="shared" si="194"/>
        <v>-705.00000000000898</v>
      </c>
      <c r="X707" s="256" t="str">
        <f t="shared" si="198"/>
        <v/>
      </c>
      <c r="Y707" s="256" t="str">
        <f t="shared" si="199"/>
        <v/>
      </c>
      <c r="Z707" s="224" t="str">
        <f>IF(IFERROR(INDEX('tuot-rehukirjanpito'!I:I,MATCH(A707,'tuot-rehukirjanpito'!G:G,0)),)=0,"",INDEX('tuot-rehukirjanpito'!I:I,MATCH(A707,'tuot-rehukirjanpito'!G:G,0)))</f>
        <v/>
      </c>
      <c r="AA707" s="224">
        <f>SUMIFS('tuot-INFO'!$K$10:$K$115,'tuot-INFO'!$A$10:$A$115,'tuot-PVÄ'!B707)</f>
        <v>0</v>
      </c>
      <c r="AB707" s="224">
        <f>SUMIFS('rehu-vesi-INFO'!$R:$R,'rehu-vesi-INFO'!$A:$A,'tuot-PVÄ'!B707)</f>
        <v>1746</v>
      </c>
      <c r="AC707" s="224">
        <f>SUMIFS('rehu-vesi-INFO'!$S:$S,'rehu-vesi-INFO'!$A:$A,'tuot-PVÄ'!B707)</f>
        <v>1853</v>
      </c>
      <c r="AD707" s="224">
        <f t="shared" si="184"/>
        <v>107</v>
      </c>
      <c r="AE707" s="224">
        <f t="shared" si="185"/>
        <v>0</v>
      </c>
      <c r="AF707" s="224">
        <f t="shared" si="186"/>
        <v>174.6</v>
      </c>
      <c r="AG707" s="224">
        <f t="shared" si="187"/>
        <v>10.7</v>
      </c>
      <c r="AH707" s="257">
        <f t="shared" si="189"/>
        <v>0</v>
      </c>
      <c r="AI707" s="258">
        <f t="shared" si="190"/>
        <v>0</v>
      </c>
      <c r="AJ707" s="55">
        <f>SUMIFS('tuot-INFO'!W:W,'tuot-INFO'!$A:$A,'tuot-PVÄ'!B707)</f>
        <v>0</v>
      </c>
      <c r="AK707" s="55">
        <f>SUMIFS('tuot-INFO'!X:X,'tuot-INFO'!$A:$A,'tuot-PVÄ'!B707)</f>
        <v>0</v>
      </c>
    </row>
    <row r="708" spans="1:37" x14ac:dyDescent="0.25">
      <c r="A708" s="169">
        <f t="shared" si="188"/>
        <v>43194</v>
      </c>
      <c r="B708" s="23">
        <f>ROUNDUP((A708-Yleistiedot!$B$4)/7,0)</f>
        <v>118</v>
      </c>
      <c r="C708" s="16"/>
      <c r="D708" s="25"/>
      <c r="E708" s="25"/>
      <c r="F708" s="25"/>
      <c r="G708" s="25"/>
      <c r="H708" s="25"/>
      <c r="I708" s="65">
        <f t="shared" ref="I708:I744" si="200">SUM(E708:H708)</f>
        <v>0</v>
      </c>
      <c r="J708" s="26"/>
      <c r="K708" s="25"/>
      <c r="L708" s="16"/>
      <c r="M708" s="16"/>
      <c r="N708" s="25"/>
      <c r="O708" s="30"/>
      <c r="P708" s="252">
        <f t="shared" si="195"/>
        <v>9990</v>
      </c>
      <c r="Q708" s="253">
        <f t="shared" si="196"/>
        <v>0</v>
      </c>
      <c r="R708" s="253">
        <f t="shared" si="197"/>
        <v>0</v>
      </c>
      <c r="S708" s="251">
        <f>SUMIFS('tuot-rehukirjanpito'!D:D,'tuot-rehukirjanpito'!A:A,A708)</f>
        <v>0</v>
      </c>
      <c r="T708" s="254">
        <f t="shared" si="191"/>
        <v>1098.9000000000001</v>
      </c>
      <c r="U708" s="254">
        <f t="shared" si="192"/>
        <v>1098.8999999999999</v>
      </c>
      <c r="V708" s="252">
        <f t="shared" si="193"/>
        <v>-775823.40000000992</v>
      </c>
      <c r="W708" s="255">
        <f t="shared" si="194"/>
        <v>-706.00000000000898</v>
      </c>
      <c r="X708" s="256" t="str">
        <f t="shared" si="198"/>
        <v/>
      </c>
      <c r="Y708" s="256" t="str">
        <f t="shared" si="199"/>
        <v/>
      </c>
      <c r="Z708" s="224" t="str">
        <f>IF(IFERROR(INDEX('tuot-rehukirjanpito'!I:I,MATCH(A708,'tuot-rehukirjanpito'!G:G,0)),)=0,"",INDEX('tuot-rehukirjanpito'!I:I,MATCH(A708,'tuot-rehukirjanpito'!G:G,0)))</f>
        <v/>
      </c>
      <c r="AA708" s="224">
        <f>SUMIFS('tuot-INFO'!$K$10:$K$115,'tuot-INFO'!$A$10:$A$115,'tuot-PVÄ'!B708)</f>
        <v>0</v>
      </c>
      <c r="AB708" s="224">
        <f>SUMIFS('rehu-vesi-INFO'!$R:$R,'rehu-vesi-INFO'!$A:$A,'tuot-PVÄ'!B708)</f>
        <v>1746</v>
      </c>
      <c r="AC708" s="224">
        <f>SUMIFS('rehu-vesi-INFO'!$S:$S,'rehu-vesi-INFO'!$A:$A,'tuot-PVÄ'!B708)</f>
        <v>1853</v>
      </c>
      <c r="AD708" s="224">
        <f t="shared" ref="AD708:AD743" si="201">AC708-AB708</f>
        <v>107</v>
      </c>
      <c r="AE708" s="224">
        <f t="shared" ref="AE708:AE744" si="202">K708/10</f>
        <v>0</v>
      </c>
      <c r="AF708" s="224">
        <f t="shared" ref="AF708:AF744" si="203">AB708/10</f>
        <v>174.6</v>
      </c>
      <c r="AG708" s="224">
        <f t="shared" ref="AG708:AG744" si="204">AD708/10</f>
        <v>10.7</v>
      </c>
      <c r="AH708" s="257">
        <f t="shared" si="189"/>
        <v>0</v>
      </c>
      <c r="AI708" s="258">
        <f t="shared" si="190"/>
        <v>0</v>
      </c>
      <c r="AJ708" s="55">
        <f>SUMIFS('tuot-INFO'!W:W,'tuot-INFO'!$A:$A,'tuot-PVÄ'!B708)</f>
        <v>0</v>
      </c>
      <c r="AK708" s="55">
        <f>SUMIFS('tuot-INFO'!X:X,'tuot-INFO'!$A:$A,'tuot-PVÄ'!B708)</f>
        <v>0</v>
      </c>
    </row>
    <row r="709" spans="1:37" x14ac:dyDescent="0.25">
      <c r="A709" s="169">
        <f t="shared" ref="A709:A744" si="205">A708+1</f>
        <v>43195</v>
      </c>
      <c r="B709" s="23">
        <f>ROUNDUP((A709-Yleistiedot!$B$4)/7,0)</f>
        <v>118</v>
      </c>
      <c r="C709" s="16"/>
      <c r="D709" s="25"/>
      <c r="E709" s="25"/>
      <c r="F709" s="25"/>
      <c r="G709" s="25"/>
      <c r="H709" s="25"/>
      <c r="I709" s="65">
        <f t="shared" si="200"/>
        <v>0</v>
      </c>
      <c r="J709" s="26"/>
      <c r="K709" s="25"/>
      <c r="L709" s="16"/>
      <c r="M709" s="16"/>
      <c r="N709" s="25"/>
      <c r="O709" s="30"/>
      <c r="P709" s="252">
        <f t="shared" si="195"/>
        <v>9990</v>
      </c>
      <c r="Q709" s="253">
        <f t="shared" si="196"/>
        <v>0</v>
      </c>
      <c r="R709" s="253">
        <f t="shared" si="197"/>
        <v>0</v>
      </c>
      <c r="S709" s="251">
        <f>SUMIFS('tuot-rehukirjanpito'!D:D,'tuot-rehukirjanpito'!A:A,A709)</f>
        <v>0</v>
      </c>
      <c r="T709" s="254">
        <f t="shared" si="191"/>
        <v>1098.9000000000001</v>
      </c>
      <c r="U709" s="254">
        <f t="shared" si="192"/>
        <v>1098.8999999999999</v>
      </c>
      <c r="V709" s="252">
        <f t="shared" si="193"/>
        <v>-776922.30000000994</v>
      </c>
      <c r="W709" s="255">
        <f t="shared" si="194"/>
        <v>-707.00000000000898</v>
      </c>
      <c r="X709" s="256" t="str">
        <f t="shared" si="198"/>
        <v/>
      </c>
      <c r="Y709" s="256" t="str">
        <f t="shared" si="199"/>
        <v/>
      </c>
      <c r="Z709" s="224" t="str">
        <f>IF(IFERROR(INDEX('tuot-rehukirjanpito'!I:I,MATCH(A709,'tuot-rehukirjanpito'!G:G,0)),)=0,"",INDEX('tuot-rehukirjanpito'!I:I,MATCH(A709,'tuot-rehukirjanpito'!G:G,0)))</f>
        <v/>
      </c>
      <c r="AA709" s="224">
        <f>SUMIFS('tuot-INFO'!$K$10:$K$115,'tuot-INFO'!$A$10:$A$115,'tuot-PVÄ'!B709)</f>
        <v>0</v>
      </c>
      <c r="AB709" s="224">
        <f>SUMIFS('rehu-vesi-INFO'!$R:$R,'rehu-vesi-INFO'!$A:$A,'tuot-PVÄ'!B709)</f>
        <v>1746</v>
      </c>
      <c r="AC709" s="224">
        <f>SUMIFS('rehu-vesi-INFO'!$S:$S,'rehu-vesi-INFO'!$A:$A,'tuot-PVÄ'!B709)</f>
        <v>1853</v>
      </c>
      <c r="AD709" s="224">
        <f t="shared" si="201"/>
        <v>107</v>
      </c>
      <c r="AE709" s="224">
        <f t="shared" si="202"/>
        <v>0</v>
      </c>
      <c r="AF709" s="224">
        <f t="shared" si="203"/>
        <v>174.6</v>
      </c>
      <c r="AG709" s="224">
        <f t="shared" si="204"/>
        <v>10.7</v>
      </c>
      <c r="AH709" s="257">
        <f t="shared" si="189"/>
        <v>0</v>
      </c>
      <c r="AI709" s="258">
        <f t="shared" si="190"/>
        <v>0</v>
      </c>
      <c r="AJ709" s="55">
        <f>SUMIFS('tuot-INFO'!W:W,'tuot-INFO'!$A:$A,'tuot-PVÄ'!B709)</f>
        <v>0</v>
      </c>
      <c r="AK709" s="55">
        <f>SUMIFS('tuot-INFO'!X:X,'tuot-INFO'!$A:$A,'tuot-PVÄ'!B709)</f>
        <v>0</v>
      </c>
    </row>
    <row r="710" spans="1:37" x14ac:dyDescent="0.25">
      <c r="A710" s="169">
        <f t="shared" si="205"/>
        <v>43196</v>
      </c>
      <c r="B710" s="23">
        <f>ROUNDUP((A710-Yleistiedot!$B$4)/7,0)</f>
        <v>118</v>
      </c>
      <c r="C710" s="16"/>
      <c r="D710" s="25"/>
      <c r="E710" s="25"/>
      <c r="F710" s="25"/>
      <c r="G710" s="25"/>
      <c r="H710" s="25"/>
      <c r="I710" s="65">
        <f t="shared" si="200"/>
        <v>0</v>
      </c>
      <c r="J710" s="26"/>
      <c r="K710" s="25"/>
      <c r="L710" s="16"/>
      <c r="M710" s="16"/>
      <c r="N710" s="25"/>
      <c r="O710" s="30"/>
      <c r="P710" s="252">
        <f t="shared" si="195"/>
        <v>9990</v>
      </c>
      <c r="Q710" s="253">
        <f t="shared" si="196"/>
        <v>0</v>
      </c>
      <c r="R710" s="253">
        <f t="shared" si="197"/>
        <v>0</v>
      </c>
      <c r="S710" s="251">
        <f>SUMIFS('tuot-rehukirjanpito'!D:D,'tuot-rehukirjanpito'!A:A,A710)</f>
        <v>0</v>
      </c>
      <c r="T710" s="254">
        <f t="shared" si="191"/>
        <v>1098.9000000000001</v>
      </c>
      <c r="U710" s="254">
        <f t="shared" si="192"/>
        <v>1098.8999999999999</v>
      </c>
      <c r="V710" s="252">
        <f t="shared" si="193"/>
        <v>-778021.20000000997</v>
      </c>
      <c r="W710" s="255">
        <f t="shared" si="194"/>
        <v>-708.00000000000898</v>
      </c>
      <c r="X710" s="256" t="str">
        <f t="shared" si="198"/>
        <v/>
      </c>
      <c r="Y710" s="256" t="str">
        <f t="shared" si="199"/>
        <v/>
      </c>
      <c r="Z710" s="224" t="str">
        <f>IF(IFERROR(INDEX('tuot-rehukirjanpito'!I:I,MATCH(A710,'tuot-rehukirjanpito'!G:G,0)),)=0,"",INDEX('tuot-rehukirjanpito'!I:I,MATCH(A710,'tuot-rehukirjanpito'!G:G,0)))</f>
        <v/>
      </c>
      <c r="AA710" s="224">
        <f>SUMIFS('tuot-INFO'!$K$10:$K$115,'tuot-INFO'!$A$10:$A$115,'tuot-PVÄ'!B710)</f>
        <v>0</v>
      </c>
      <c r="AB710" s="224">
        <f>SUMIFS('rehu-vesi-INFO'!$R:$R,'rehu-vesi-INFO'!$A:$A,'tuot-PVÄ'!B710)</f>
        <v>1746</v>
      </c>
      <c r="AC710" s="224">
        <f>SUMIFS('rehu-vesi-INFO'!$S:$S,'rehu-vesi-INFO'!$A:$A,'tuot-PVÄ'!B710)</f>
        <v>1853</v>
      </c>
      <c r="AD710" s="224">
        <f t="shared" si="201"/>
        <v>107</v>
      </c>
      <c r="AE710" s="224">
        <f t="shared" si="202"/>
        <v>0</v>
      </c>
      <c r="AF710" s="224">
        <f t="shared" si="203"/>
        <v>174.6</v>
      </c>
      <c r="AG710" s="224">
        <f t="shared" si="204"/>
        <v>10.7</v>
      </c>
      <c r="AH710" s="257">
        <f t="shared" ref="AH710:AH744" si="206">IFERROR(AVERAGE(L708:L710),)</f>
        <v>0</v>
      </c>
      <c r="AI710" s="258">
        <f t="shared" ref="AI710:AI744" si="207">AVERAGE(Q709+R709,Q710+R710,Q708+R708)</f>
        <v>0</v>
      </c>
      <c r="AJ710" s="55">
        <f>SUMIFS('tuot-INFO'!W:W,'tuot-INFO'!$A:$A,'tuot-PVÄ'!B710)</f>
        <v>0</v>
      </c>
      <c r="AK710" s="55">
        <f>SUMIFS('tuot-INFO'!X:X,'tuot-INFO'!$A:$A,'tuot-PVÄ'!B710)</f>
        <v>0</v>
      </c>
    </row>
    <row r="711" spans="1:37" x14ac:dyDescent="0.25">
      <c r="A711" s="169">
        <f t="shared" si="205"/>
        <v>43197</v>
      </c>
      <c r="B711" s="23">
        <f>ROUNDUP((A711-Yleistiedot!$B$4)/7,0)</f>
        <v>119</v>
      </c>
      <c r="C711" s="16"/>
      <c r="D711" s="25"/>
      <c r="E711" s="25"/>
      <c r="F711" s="25"/>
      <c r="G711" s="25"/>
      <c r="H711" s="25"/>
      <c r="I711" s="65">
        <f t="shared" si="200"/>
        <v>0</v>
      </c>
      <c r="J711" s="26"/>
      <c r="K711" s="25"/>
      <c r="L711" s="16"/>
      <c r="M711" s="16"/>
      <c r="N711" s="25"/>
      <c r="O711" s="30"/>
      <c r="P711" s="252">
        <f t="shared" si="195"/>
        <v>9990</v>
      </c>
      <c r="Q711" s="253">
        <f t="shared" si="196"/>
        <v>0</v>
      </c>
      <c r="R711" s="253">
        <f t="shared" si="197"/>
        <v>0</v>
      </c>
      <c r="S711" s="251">
        <f>SUMIFS('tuot-rehukirjanpito'!D:D,'tuot-rehukirjanpito'!A:A,A711)</f>
        <v>0</v>
      </c>
      <c r="T711" s="254">
        <f t="shared" si="191"/>
        <v>1098.9000000000001</v>
      </c>
      <c r="U711" s="254">
        <f t="shared" si="192"/>
        <v>1098.8999999999999</v>
      </c>
      <c r="V711" s="252">
        <f t="shared" si="193"/>
        <v>-779120.10000000999</v>
      </c>
      <c r="W711" s="255">
        <f t="shared" si="194"/>
        <v>-709.00000000000898</v>
      </c>
      <c r="X711" s="256" t="str">
        <f t="shared" si="198"/>
        <v/>
      </c>
      <c r="Y711" s="256" t="str">
        <f t="shared" si="199"/>
        <v/>
      </c>
      <c r="Z711" s="224" t="str">
        <f>IF(IFERROR(INDEX('tuot-rehukirjanpito'!I:I,MATCH(A711,'tuot-rehukirjanpito'!G:G,0)),)=0,"",INDEX('tuot-rehukirjanpito'!I:I,MATCH(A711,'tuot-rehukirjanpito'!G:G,0)))</f>
        <v/>
      </c>
      <c r="AA711" s="224">
        <f>SUMIFS('tuot-INFO'!$K$10:$K$115,'tuot-INFO'!$A$10:$A$115,'tuot-PVÄ'!B711)</f>
        <v>0</v>
      </c>
      <c r="AB711" s="224">
        <f>SUMIFS('rehu-vesi-INFO'!$R:$R,'rehu-vesi-INFO'!$A:$A,'tuot-PVÄ'!B711)</f>
        <v>1746</v>
      </c>
      <c r="AC711" s="224">
        <f>SUMIFS('rehu-vesi-INFO'!$S:$S,'rehu-vesi-INFO'!$A:$A,'tuot-PVÄ'!B711)</f>
        <v>1853</v>
      </c>
      <c r="AD711" s="224">
        <f t="shared" si="201"/>
        <v>107</v>
      </c>
      <c r="AE711" s="224">
        <f t="shared" si="202"/>
        <v>0</v>
      </c>
      <c r="AF711" s="224">
        <f t="shared" si="203"/>
        <v>174.6</v>
      </c>
      <c r="AG711" s="224">
        <f t="shared" si="204"/>
        <v>10.7</v>
      </c>
      <c r="AH711" s="257">
        <f t="shared" si="206"/>
        <v>0</v>
      </c>
      <c r="AI711" s="258">
        <f t="shared" si="207"/>
        <v>0</v>
      </c>
      <c r="AJ711" s="55">
        <f>SUMIFS('tuot-INFO'!W:W,'tuot-INFO'!$A:$A,'tuot-PVÄ'!B711)</f>
        <v>0</v>
      </c>
      <c r="AK711" s="55">
        <f>SUMIFS('tuot-INFO'!X:X,'tuot-INFO'!$A:$A,'tuot-PVÄ'!B711)</f>
        <v>0</v>
      </c>
    </row>
    <row r="712" spans="1:37" x14ac:dyDescent="0.25">
      <c r="A712" s="169">
        <f t="shared" si="205"/>
        <v>43198</v>
      </c>
      <c r="B712" s="23">
        <f>ROUNDUP((A712-Yleistiedot!$B$4)/7,0)</f>
        <v>119</v>
      </c>
      <c r="C712" s="16"/>
      <c r="D712" s="25"/>
      <c r="E712" s="25"/>
      <c r="F712" s="25"/>
      <c r="G712" s="25"/>
      <c r="H712" s="25"/>
      <c r="I712" s="65">
        <f t="shared" si="200"/>
        <v>0</v>
      </c>
      <c r="J712" s="26"/>
      <c r="K712" s="25"/>
      <c r="L712" s="16"/>
      <c r="M712" s="16"/>
      <c r="N712" s="25"/>
      <c r="O712" s="30"/>
      <c r="P712" s="252">
        <f t="shared" si="195"/>
        <v>9990</v>
      </c>
      <c r="Q712" s="253">
        <f t="shared" si="196"/>
        <v>0</v>
      </c>
      <c r="R712" s="253">
        <f t="shared" si="197"/>
        <v>0</v>
      </c>
      <c r="S712" s="251">
        <f>SUMIFS('tuot-rehukirjanpito'!D:D,'tuot-rehukirjanpito'!A:A,A712)</f>
        <v>0</v>
      </c>
      <c r="T712" s="254">
        <f t="shared" ref="T712:T744" si="208">IF(L712&gt;0,P712*L712/1000,T711)</f>
        <v>1098.9000000000001</v>
      </c>
      <c r="U712" s="254">
        <f t="shared" ref="U712:U744" si="209">IFERROR(AVERAGEIF(T706:T712,"&lt;&gt;0"),0)</f>
        <v>1098.8999999999999</v>
      </c>
      <c r="V712" s="252">
        <f t="shared" ref="V712:V744" si="210">V711+S712-T712</f>
        <v>-780219.00000001001</v>
      </c>
      <c r="W712" s="255">
        <f t="shared" ref="W712:W744" si="211">IFERROR(V712/T712,"")</f>
        <v>-710.00000000000909</v>
      </c>
      <c r="X712" s="256" t="str">
        <f t="shared" si="198"/>
        <v/>
      </c>
      <c r="Y712" s="256" t="str">
        <f t="shared" si="199"/>
        <v/>
      </c>
      <c r="Z712" s="224" t="str">
        <f>IF(IFERROR(INDEX('tuot-rehukirjanpito'!I:I,MATCH(A712,'tuot-rehukirjanpito'!G:G,0)),)=0,"",INDEX('tuot-rehukirjanpito'!I:I,MATCH(A712,'tuot-rehukirjanpito'!G:G,0)))</f>
        <v/>
      </c>
      <c r="AA712" s="224">
        <f>SUMIFS('tuot-INFO'!$K$10:$K$115,'tuot-INFO'!$A$10:$A$115,'tuot-PVÄ'!B712)</f>
        <v>0</v>
      </c>
      <c r="AB712" s="224">
        <f>SUMIFS('rehu-vesi-INFO'!$R:$R,'rehu-vesi-INFO'!$A:$A,'tuot-PVÄ'!B712)</f>
        <v>1746</v>
      </c>
      <c r="AC712" s="224">
        <f>SUMIFS('rehu-vesi-INFO'!$S:$S,'rehu-vesi-INFO'!$A:$A,'tuot-PVÄ'!B712)</f>
        <v>1853</v>
      </c>
      <c r="AD712" s="224">
        <f t="shared" si="201"/>
        <v>107</v>
      </c>
      <c r="AE712" s="224">
        <f t="shared" si="202"/>
        <v>0</v>
      </c>
      <c r="AF712" s="224">
        <f t="shared" si="203"/>
        <v>174.6</v>
      </c>
      <c r="AG712" s="224">
        <f t="shared" si="204"/>
        <v>10.7</v>
      </c>
      <c r="AH712" s="257">
        <f t="shared" si="206"/>
        <v>0</v>
      </c>
      <c r="AI712" s="258">
        <f t="shared" si="207"/>
        <v>0</v>
      </c>
      <c r="AJ712" s="55">
        <f>SUMIFS('tuot-INFO'!W:W,'tuot-INFO'!$A:$A,'tuot-PVÄ'!B712)</f>
        <v>0</v>
      </c>
      <c r="AK712" s="55">
        <f>SUMIFS('tuot-INFO'!X:X,'tuot-INFO'!$A:$A,'tuot-PVÄ'!B712)</f>
        <v>0</v>
      </c>
    </row>
    <row r="713" spans="1:37" x14ac:dyDescent="0.25">
      <c r="A713" s="169">
        <f t="shared" si="205"/>
        <v>43199</v>
      </c>
      <c r="B713" s="23">
        <f>ROUNDUP((A713-Yleistiedot!$B$4)/7,0)</f>
        <v>119</v>
      </c>
      <c r="C713" s="16"/>
      <c r="D713" s="25"/>
      <c r="E713" s="25"/>
      <c r="F713" s="25"/>
      <c r="G713" s="25"/>
      <c r="H713" s="25"/>
      <c r="I713" s="65">
        <f t="shared" si="200"/>
        <v>0</v>
      </c>
      <c r="J713" s="26"/>
      <c r="K713" s="25"/>
      <c r="L713" s="16"/>
      <c r="M713" s="16"/>
      <c r="N713" s="25"/>
      <c r="O713" s="30"/>
      <c r="P713" s="252">
        <f t="shared" si="195"/>
        <v>9990</v>
      </c>
      <c r="Q713" s="253">
        <f t="shared" si="196"/>
        <v>0</v>
      </c>
      <c r="R713" s="253">
        <f t="shared" si="197"/>
        <v>0</v>
      </c>
      <c r="S713" s="251">
        <f>SUMIFS('tuot-rehukirjanpito'!D:D,'tuot-rehukirjanpito'!A:A,A713)</f>
        <v>0</v>
      </c>
      <c r="T713" s="254">
        <f t="shared" si="208"/>
        <v>1098.9000000000001</v>
      </c>
      <c r="U713" s="254">
        <f t="shared" si="209"/>
        <v>1098.8999999999999</v>
      </c>
      <c r="V713" s="252">
        <f t="shared" si="210"/>
        <v>-781317.90000001004</v>
      </c>
      <c r="W713" s="255">
        <f t="shared" si="211"/>
        <v>-711.00000000000909</v>
      </c>
      <c r="X713" s="256" t="str">
        <f t="shared" si="198"/>
        <v/>
      </c>
      <c r="Y713" s="256" t="str">
        <f t="shared" si="199"/>
        <v/>
      </c>
      <c r="Z713" s="224" t="str">
        <f>IF(IFERROR(INDEX('tuot-rehukirjanpito'!I:I,MATCH(A713,'tuot-rehukirjanpito'!G:G,0)),)=0,"",INDEX('tuot-rehukirjanpito'!I:I,MATCH(A713,'tuot-rehukirjanpito'!G:G,0)))</f>
        <v/>
      </c>
      <c r="AA713" s="224">
        <f>SUMIFS('tuot-INFO'!$K$10:$K$115,'tuot-INFO'!$A$10:$A$115,'tuot-PVÄ'!B713)</f>
        <v>0</v>
      </c>
      <c r="AB713" s="224">
        <f>SUMIFS('rehu-vesi-INFO'!$R:$R,'rehu-vesi-INFO'!$A:$A,'tuot-PVÄ'!B713)</f>
        <v>1746</v>
      </c>
      <c r="AC713" s="224">
        <f>SUMIFS('rehu-vesi-INFO'!$S:$S,'rehu-vesi-INFO'!$A:$A,'tuot-PVÄ'!B713)</f>
        <v>1853</v>
      </c>
      <c r="AD713" s="224">
        <f t="shared" si="201"/>
        <v>107</v>
      </c>
      <c r="AE713" s="224">
        <f t="shared" si="202"/>
        <v>0</v>
      </c>
      <c r="AF713" s="224">
        <f t="shared" si="203"/>
        <v>174.6</v>
      </c>
      <c r="AG713" s="224">
        <f t="shared" si="204"/>
        <v>10.7</v>
      </c>
      <c r="AH713" s="257">
        <f t="shared" si="206"/>
        <v>0</v>
      </c>
      <c r="AI713" s="258">
        <f t="shared" si="207"/>
        <v>0</v>
      </c>
      <c r="AJ713" s="55">
        <f>SUMIFS('tuot-INFO'!W:W,'tuot-INFO'!$A:$A,'tuot-PVÄ'!B713)</f>
        <v>0</v>
      </c>
      <c r="AK713" s="55">
        <f>SUMIFS('tuot-INFO'!X:X,'tuot-INFO'!$A:$A,'tuot-PVÄ'!B713)</f>
        <v>0</v>
      </c>
    </row>
    <row r="714" spans="1:37" x14ac:dyDescent="0.25">
      <c r="A714" s="169">
        <f t="shared" si="205"/>
        <v>43200</v>
      </c>
      <c r="B714" s="23">
        <f>ROUNDUP((A714-Yleistiedot!$B$4)/7,0)</f>
        <v>119</v>
      </c>
      <c r="C714" s="16"/>
      <c r="D714" s="25"/>
      <c r="E714" s="25"/>
      <c r="F714" s="25"/>
      <c r="G714" s="25"/>
      <c r="H714" s="25"/>
      <c r="I714" s="65">
        <f t="shared" si="200"/>
        <v>0</v>
      </c>
      <c r="J714" s="26"/>
      <c r="K714" s="25"/>
      <c r="L714" s="16"/>
      <c r="M714" s="16"/>
      <c r="N714" s="25"/>
      <c r="O714" s="30"/>
      <c r="P714" s="252">
        <f t="shared" si="195"/>
        <v>9990</v>
      </c>
      <c r="Q714" s="253">
        <f t="shared" si="196"/>
        <v>0</v>
      </c>
      <c r="R714" s="253">
        <f t="shared" si="197"/>
        <v>0</v>
      </c>
      <c r="S714" s="251">
        <f>SUMIFS('tuot-rehukirjanpito'!D:D,'tuot-rehukirjanpito'!A:A,A714)</f>
        <v>0</v>
      </c>
      <c r="T714" s="254">
        <f t="shared" si="208"/>
        <v>1098.9000000000001</v>
      </c>
      <c r="U714" s="254">
        <f t="shared" si="209"/>
        <v>1098.8999999999999</v>
      </c>
      <c r="V714" s="252">
        <f t="shared" si="210"/>
        <v>-782416.80000001006</v>
      </c>
      <c r="W714" s="255">
        <f t="shared" si="211"/>
        <v>-712.00000000000909</v>
      </c>
      <c r="X714" s="256" t="str">
        <f t="shared" si="198"/>
        <v/>
      </c>
      <c r="Y714" s="256" t="str">
        <f t="shared" si="199"/>
        <v/>
      </c>
      <c r="Z714" s="224" t="str">
        <f>IF(IFERROR(INDEX('tuot-rehukirjanpito'!I:I,MATCH(A714,'tuot-rehukirjanpito'!G:G,0)),)=0,"",INDEX('tuot-rehukirjanpito'!I:I,MATCH(A714,'tuot-rehukirjanpito'!G:G,0)))</f>
        <v/>
      </c>
      <c r="AA714" s="224">
        <f>SUMIFS('tuot-INFO'!$K$10:$K$115,'tuot-INFO'!$A$10:$A$115,'tuot-PVÄ'!B714)</f>
        <v>0</v>
      </c>
      <c r="AB714" s="224">
        <f>SUMIFS('rehu-vesi-INFO'!$R:$R,'rehu-vesi-INFO'!$A:$A,'tuot-PVÄ'!B714)</f>
        <v>1746</v>
      </c>
      <c r="AC714" s="224">
        <f>SUMIFS('rehu-vesi-INFO'!$S:$S,'rehu-vesi-INFO'!$A:$A,'tuot-PVÄ'!B714)</f>
        <v>1853</v>
      </c>
      <c r="AD714" s="224">
        <f t="shared" si="201"/>
        <v>107</v>
      </c>
      <c r="AE714" s="224">
        <f t="shared" si="202"/>
        <v>0</v>
      </c>
      <c r="AF714" s="224">
        <f t="shared" si="203"/>
        <v>174.6</v>
      </c>
      <c r="AG714" s="224">
        <f t="shared" si="204"/>
        <v>10.7</v>
      </c>
      <c r="AH714" s="257">
        <f t="shared" si="206"/>
        <v>0</v>
      </c>
      <c r="AI714" s="258">
        <f t="shared" si="207"/>
        <v>0</v>
      </c>
      <c r="AJ714" s="55">
        <f>SUMIFS('tuot-INFO'!W:W,'tuot-INFO'!$A:$A,'tuot-PVÄ'!B714)</f>
        <v>0</v>
      </c>
      <c r="AK714" s="55">
        <f>SUMIFS('tuot-INFO'!X:X,'tuot-INFO'!$A:$A,'tuot-PVÄ'!B714)</f>
        <v>0</v>
      </c>
    </row>
    <row r="715" spans="1:37" x14ac:dyDescent="0.25">
      <c r="A715" s="169">
        <f t="shared" si="205"/>
        <v>43201</v>
      </c>
      <c r="B715" s="23">
        <f>ROUNDUP((A715-Yleistiedot!$B$4)/7,0)</f>
        <v>119</v>
      </c>
      <c r="C715" s="16"/>
      <c r="D715" s="25"/>
      <c r="E715" s="25"/>
      <c r="F715" s="25"/>
      <c r="G715" s="25"/>
      <c r="H715" s="25"/>
      <c r="I715" s="65">
        <f t="shared" si="200"/>
        <v>0</v>
      </c>
      <c r="J715" s="26"/>
      <c r="K715" s="25"/>
      <c r="L715" s="16"/>
      <c r="M715" s="16"/>
      <c r="N715" s="25"/>
      <c r="O715" s="30"/>
      <c r="P715" s="252">
        <f t="shared" si="195"/>
        <v>9990</v>
      </c>
      <c r="Q715" s="253">
        <f t="shared" si="196"/>
        <v>0</v>
      </c>
      <c r="R715" s="253">
        <f t="shared" si="197"/>
        <v>0</v>
      </c>
      <c r="S715" s="251">
        <f>SUMIFS('tuot-rehukirjanpito'!D:D,'tuot-rehukirjanpito'!A:A,A715)</f>
        <v>0</v>
      </c>
      <c r="T715" s="254">
        <f t="shared" si="208"/>
        <v>1098.9000000000001</v>
      </c>
      <c r="U715" s="254">
        <f t="shared" si="209"/>
        <v>1098.8999999999999</v>
      </c>
      <c r="V715" s="252">
        <f t="shared" si="210"/>
        <v>-783515.70000001008</v>
      </c>
      <c r="W715" s="255">
        <f t="shared" si="211"/>
        <v>-713.00000000000909</v>
      </c>
      <c r="X715" s="256" t="str">
        <f t="shared" si="198"/>
        <v/>
      </c>
      <c r="Y715" s="256" t="str">
        <f t="shared" si="199"/>
        <v/>
      </c>
      <c r="Z715" s="224" t="str">
        <f>IF(IFERROR(INDEX('tuot-rehukirjanpito'!I:I,MATCH(A715,'tuot-rehukirjanpito'!G:G,0)),)=0,"",INDEX('tuot-rehukirjanpito'!I:I,MATCH(A715,'tuot-rehukirjanpito'!G:G,0)))</f>
        <v/>
      </c>
      <c r="AA715" s="224">
        <f>SUMIFS('tuot-INFO'!$K$10:$K$115,'tuot-INFO'!$A$10:$A$115,'tuot-PVÄ'!B715)</f>
        <v>0</v>
      </c>
      <c r="AB715" s="224">
        <f>SUMIFS('rehu-vesi-INFO'!$R:$R,'rehu-vesi-INFO'!$A:$A,'tuot-PVÄ'!B715)</f>
        <v>1746</v>
      </c>
      <c r="AC715" s="224">
        <f>SUMIFS('rehu-vesi-INFO'!$S:$S,'rehu-vesi-INFO'!$A:$A,'tuot-PVÄ'!B715)</f>
        <v>1853</v>
      </c>
      <c r="AD715" s="224">
        <f t="shared" si="201"/>
        <v>107</v>
      </c>
      <c r="AE715" s="224">
        <f t="shared" si="202"/>
        <v>0</v>
      </c>
      <c r="AF715" s="224">
        <f t="shared" si="203"/>
        <v>174.6</v>
      </c>
      <c r="AG715" s="224">
        <f t="shared" si="204"/>
        <v>10.7</v>
      </c>
      <c r="AH715" s="257">
        <f t="shared" si="206"/>
        <v>0</v>
      </c>
      <c r="AI715" s="258">
        <f t="shared" si="207"/>
        <v>0</v>
      </c>
      <c r="AJ715" s="55">
        <f>SUMIFS('tuot-INFO'!W:W,'tuot-INFO'!$A:$A,'tuot-PVÄ'!B715)</f>
        <v>0</v>
      </c>
      <c r="AK715" s="55">
        <f>SUMIFS('tuot-INFO'!X:X,'tuot-INFO'!$A:$A,'tuot-PVÄ'!B715)</f>
        <v>0</v>
      </c>
    </row>
    <row r="716" spans="1:37" x14ac:dyDescent="0.25">
      <c r="A716" s="169">
        <f t="shared" si="205"/>
        <v>43202</v>
      </c>
      <c r="B716" s="23">
        <f>ROUNDUP((A716-Yleistiedot!$B$4)/7,0)</f>
        <v>119</v>
      </c>
      <c r="C716" s="16"/>
      <c r="D716" s="25"/>
      <c r="E716" s="25"/>
      <c r="F716" s="25"/>
      <c r="G716" s="25"/>
      <c r="H716" s="25"/>
      <c r="I716" s="65">
        <f t="shared" si="200"/>
        <v>0</v>
      </c>
      <c r="J716" s="26"/>
      <c r="K716" s="25"/>
      <c r="L716" s="16"/>
      <c r="M716" s="16"/>
      <c r="N716" s="25"/>
      <c r="O716" s="30"/>
      <c r="P716" s="252">
        <f t="shared" si="195"/>
        <v>9990</v>
      </c>
      <c r="Q716" s="253">
        <f t="shared" si="196"/>
        <v>0</v>
      </c>
      <c r="R716" s="253">
        <f t="shared" si="197"/>
        <v>0</v>
      </c>
      <c r="S716" s="251">
        <f>SUMIFS('tuot-rehukirjanpito'!D:D,'tuot-rehukirjanpito'!A:A,A716)</f>
        <v>0</v>
      </c>
      <c r="T716" s="254">
        <f t="shared" si="208"/>
        <v>1098.9000000000001</v>
      </c>
      <c r="U716" s="254">
        <f t="shared" si="209"/>
        <v>1098.8999999999999</v>
      </c>
      <c r="V716" s="252">
        <f t="shared" si="210"/>
        <v>-784614.6000000101</v>
      </c>
      <c r="W716" s="255">
        <f t="shared" si="211"/>
        <v>-714.00000000000909</v>
      </c>
      <c r="X716" s="256" t="str">
        <f t="shared" si="198"/>
        <v/>
      </c>
      <c r="Y716" s="256" t="str">
        <f t="shared" si="199"/>
        <v/>
      </c>
      <c r="Z716" s="224" t="str">
        <f>IF(IFERROR(INDEX('tuot-rehukirjanpito'!I:I,MATCH(A716,'tuot-rehukirjanpito'!G:G,0)),)=0,"",INDEX('tuot-rehukirjanpito'!I:I,MATCH(A716,'tuot-rehukirjanpito'!G:G,0)))</f>
        <v/>
      </c>
      <c r="AA716" s="224">
        <f>SUMIFS('tuot-INFO'!$K$10:$K$115,'tuot-INFO'!$A$10:$A$115,'tuot-PVÄ'!B716)</f>
        <v>0</v>
      </c>
      <c r="AB716" s="224">
        <f>SUMIFS('rehu-vesi-INFO'!$R:$R,'rehu-vesi-INFO'!$A:$A,'tuot-PVÄ'!B716)</f>
        <v>1746</v>
      </c>
      <c r="AC716" s="224">
        <f>SUMIFS('rehu-vesi-INFO'!$S:$S,'rehu-vesi-INFO'!$A:$A,'tuot-PVÄ'!B716)</f>
        <v>1853</v>
      </c>
      <c r="AD716" s="224">
        <f t="shared" si="201"/>
        <v>107</v>
      </c>
      <c r="AE716" s="224">
        <f t="shared" si="202"/>
        <v>0</v>
      </c>
      <c r="AF716" s="224">
        <f t="shared" si="203"/>
        <v>174.6</v>
      </c>
      <c r="AG716" s="224">
        <f t="shared" si="204"/>
        <v>10.7</v>
      </c>
      <c r="AH716" s="257">
        <f t="shared" si="206"/>
        <v>0</v>
      </c>
      <c r="AI716" s="258">
        <f t="shared" si="207"/>
        <v>0</v>
      </c>
      <c r="AJ716" s="55">
        <f>SUMIFS('tuot-INFO'!W:W,'tuot-INFO'!$A:$A,'tuot-PVÄ'!B716)</f>
        <v>0</v>
      </c>
      <c r="AK716" s="55">
        <f>SUMIFS('tuot-INFO'!X:X,'tuot-INFO'!$A:$A,'tuot-PVÄ'!B716)</f>
        <v>0</v>
      </c>
    </row>
    <row r="717" spans="1:37" x14ac:dyDescent="0.25">
      <c r="A717" s="169">
        <f t="shared" si="205"/>
        <v>43203</v>
      </c>
      <c r="B717" s="23">
        <f>ROUNDUP((A717-Yleistiedot!$B$4)/7,0)</f>
        <v>119</v>
      </c>
      <c r="C717" s="16"/>
      <c r="D717" s="25"/>
      <c r="E717" s="25"/>
      <c r="F717" s="25"/>
      <c r="G717" s="25"/>
      <c r="H717" s="25"/>
      <c r="I717" s="65">
        <f t="shared" si="200"/>
        <v>0</v>
      </c>
      <c r="J717" s="26"/>
      <c r="K717" s="25"/>
      <c r="L717" s="16"/>
      <c r="M717" s="16"/>
      <c r="N717" s="25"/>
      <c r="O717" s="30"/>
      <c r="P717" s="252">
        <f t="shared" si="195"/>
        <v>9990</v>
      </c>
      <c r="Q717" s="253">
        <f t="shared" si="196"/>
        <v>0</v>
      </c>
      <c r="R717" s="253">
        <f t="shared" si="197"/>
        <v>0</v>
      </c>
      <c r="S717" s="251">
        <f>SUMIFS('tuot-rehukirjanpito'!D:D,'tuot-rehukirjanpito'!A:A,A717)</f>
        <v>0</v>
      </c>
      <c r="T717" s="254">
        <f t="shared" si="208"/>
        <v>1098.9000000000001</v>
      </c>
      <c r="U717" s="254">
        <f t="shared" si="209"/>
        <v>1098.8999999999999</v>
      </c>
      <c r="V717" s="252">
        <f t="shared" si="210"/>
        <v>-785713.50000001013</v>
      </c>
      <c r="W717" s="255">
        <f t="shared" si="211"/>
        <v>-715.00000000000921</v>
      </c>
      <c r="X717" s="256" t="str">
        <f t="shared" si="198"/>
        <v/>
      </c>
      <c r="Y717" s="256" t="str">
        <f t="shared" si="199"/>
        <v/>
      </c>
      <c r="Z717" s="224" t="str">
        <f>IF(IFERROR(INDEX('tuot-rehukirjanpito'!I:I,MATCH(A717,'tuot-rehukirjanpito'!G:G,0)),)=0,"",INDEX('tuot-rehukirjanpito'!I:I,MATCH(A717,'tuot-rehukirjanpito'!G:G,0)))</f>
        <v/>
      </c>
      <c r="AA717" s="224">
        <f>SUMIFS('tuot-INFO'!$K$10:$K$115,'tuot-INFO'!$A$10:$A$115,'tuot-PVÄ'!B717)</f>
        <v>0</v>
      </c>
      <c r="AB717" s="224">
        <f>SUMIFS('rehu-vesi-INFO'!$R:$R,'rehu-vesi-INFO'!$A:$A,'tuot-PVÄ'!B717)</f>
        <v>1746</v>
      </c>
      <c r="AC717" s="224">
        <f>SUMIFS('rehu-vesi-INFO'!$S:$S,'rehu-vesi-INFO'!$A:$A,'tuot-PVÄ'!B717)</f>
        <v>1853</v>
      </c>
      <c r="AD717" s="224">
        <f t="shared" si="201"/>
        <v>107</v>
      </c>
      <c r="AE717" s="224">
        <f t="shared" si="202"/>
        <v>0</v>
      </c>
      <c r="AF717" s="224">
        <f t="shared" si="203"/>
        <v>174.6</v>
      </c>
      <c r="AG717" s="224">
        <f t="shared" si="204"/>
        <v>10.7</v>
      </c>
      <c r="AH717" s="257">
        <f t="shared" si="206"/>
        <v>0</v>
      </c>
      <c r="AI717" s="258">
        <f t="shared" si="207"/>
        <v>0</v>
      </c>
      <c r="AJ717" s="55">
        <f>SUMIFS('tuot-INFO'!W:W,'tuot-INFO'!$A:$A,'tuot-PVÄ'!B717)</f>
        <v>0</v>
      </c>
      <c r="AK717" s="55">
        <f>SUMIFS('tuot-INFO'!X:X,'tuot-INFO'!$A:$A,'tuot-PVÄ'!B717)</f>
        <v>0</v>
      </c>
    </row>
    <row r="718" spans="1:37" x14ac:dyDescent="0.25">
      <c r="A718" s="169">
        <f t="shared" si="205"/>
        <v>43204</v>
      </c>
      <c r="B718" s="23">
        <f>ROUNDUP((A718-Yleistiedot!$B$4)/7,0)</f>
        <v>120</v>
      </c>
      <c r="C718" s="16"/>
      <c r="D718" s="25"/>
      <c r="E718" s="25"/>
      <c r="F718" s="25"/>
      <c r="G718" s="25"/>
      <c r="H718" s="25"/>
      <c r="I718" s="65">
        <f t="shared" si="200"/>
        <v>0</v>
      </c>
      <c r="J718" s="26"/>
      <c r="K718" s="25"/>
      <c r="L718" s="16"/>
      <c r="M718" s="16"/>
      <c r="N718" s="25"/>
      <c r="O718" s="30"/>
      <c r="P718" s="252">
        <f t="shared" si="195"/>
        <v>9990</v>
      </c>
      <c r="Q718" s="253">
        <f t="shared" si="196"/>
        <v>0</v>
      </c>
      <c r="R718" s="253">
        <f t="shared" si="197"/>
        <v>0</v>
      </c>
      <c r="S718" s="251">
        <f>SUMIFS('tuot-rehukirjanpito'!D:D,'tuot-rehukirjanpito'!A:A,A718)</f>
        <v>0</v>
      </c>
      <c r="T718" s="254">
        <f t="shared" si="208"/>
        <v>1098.9000000000001</v>
      </c>
      <c r="U718" s="254">
        <f t="shared" si="209"/>
        <v>1098.8999999999999</v>
      </c>
      <c r="V718" s="252">
        <f t="shared" si="210"/>
        <v>-786812.40000001015</v>
      </c>
      <c r="W718" s="255">
        <f t="shared" si="211"/>
        <v>-716.00000000000921</v>
      </c>
      <c r="X718" s="256" t="str">
        <f t="shared" si="198"/>
        <v/>
      </c>
      <c r="Y718" s="256" t="str">
        <f t="shared" si="199"/>
        <v/>
      </c>
      <c r="Z718" s="224" t="str">
        <f>IF(IFERROR(INDEX('tuot-rehukirjanpito'!I:I,MATCH(A718,'tuot-rehukirjanpito'!G:G,0)),)=0,"",INDEX('tuot-rehukirjanpito'!I:I,MATCH(A718,'tuot-rehukirjanpito'!G:G,0)))</f>
        <v/>
      </c>
      <c r="AA718" s="224">
        <f>SUMIFS('tuot-INFO'!$K$10:$K$115,'tuot-INFO'!$A$10:$A$115,'tuot-PVÄ'!B718)</f>
        <v>0</v>
      </c>
      <c r="AB718" s="224">
        <f>SUMIFS('rehu-vesi-INFO'!$R:$R,'rehu-vesi-INFO'!$A:$A,'tuot-PVÄ'!B718)</f>
        <v>1746</v>
      </c>
      <c r="AC718" s="224">
        <f>SUMIFS('rehu-vesi-INFO'!$S:$S,'rehu-vesi-INFO'!$A:$A,'tuot-PVÄ'!B718)</f>
        <v>1853</v>
      </c>
      <c r="AD718" s="224">
        <f t="shared" si="201"/>
        <v>107</v>
      </c>
      <c r="AE718" s="224">
        <f t="shared" si="202"/>
        <v>0</v>
      </c>
      <c r="AF718" s="224">
        <f t="shared" si="203"/>
        <v>174.6</v>
      </c>
      <c r="AG718" s="224">
        <f t="shared" si="204"/>
        <v>10.7</v>
      </c>
      <c r="AH718" s="257">
        <f t="shared" si="206"/>
        <v>0</v>
      </c>
      <c r="AI718" s="258">
        <f t="shared" si="207"/>
        <v>0</v>
      </c>
      <c r="AJ718" s="55">
        <f>SUMIFS('tuot-INFO'!W:W,'tuot-INFO'!$A:$A,'tuot-PVÄ'!B718)</f>
        <v>0</v>
      </c>
      <c r="AK718" s="55">
        <f>SUMIFS('tuot-INFO'!X:X,'tuot-INFO'!$A:$A,'tuot-PVÄ'!B718)</f>
        <v>0</v>
      </c>
    </row>
    <row r="719" spans="1:37" x14ac:dyDescent="0.25">
      <c r="A719" s="169">
        <f t="shared" si="205"/>
        <v>43205</v>
      </c>
      <c r="B719" s="23">
        <f>ROUNDUP((A719-Yleistiedot!$B$4)/7,0)</f>
        <v>120</v>
      </c>
      <c r="C719" s="16"/>
      <c r="D719" s="25"/>
      <c r="E719" s="25"/>
      <c r="F719" s="25"/>
      <c r="G719" s="25"/>
      <c r="H719" s="25"/>
      <c r="I719" s="65">
        <f t="shared" si="200"/>
        <v>0</v>
      </c>
      <c r="J719" s="26"/>
      <c r="K719" s="25"/>
      <c r="L719" s="16"/>
      <c r="M719" s="16"/>
      <c r="N719" s="25"/>
      <c r="O719" s="30"/>
      <c r="P719" s="252">
        <f t="shared" si="195"/>
        <v>9990</v>
      </c>
      <c r="Q719" s="253">
        <f t="shared" si="196"/>
        <v>0</v>
      </c>
      <c r="R719" s="253">
        <f t="shared" si="197"/>
        <v>0</v>
      </c>
      <c r="S719" s="251">
        <f>SUMIFS('tuot-rehukirjanpito'!D:D,'tuot-rehukirjanpito'!A:A,A719)</f>
        <v>0</v>
      </c>
      <c r="T719" s="254">
        <f t="shared" si="208"/>
        <v>1098.9000000000001</v>
      </c>
      <c r="U719" s="254">
        <f t="shared" si="209"/>
        <v>1098.8999999999999</v>
      </c>
      <c r="V719" s="252">
        <f t="shared" si="210"/>
        <v>-787911.30000001017</v>
      </c>
      <c r="W719" s="255">
        <f t="shared" si="211"/>
        <v>-717.00000000000921</v>
      </c>
      <c r="X719" s="256" t="str">
        <f t="shared" si="198"/>
        <v/>
      </c>
      <c r="Y719" s="256" t="str">
        <f t="shared" si="199"/>
        <v/>
      </c>
      <c r="Z719" s="224" t="str">
        <f>IF(IFERROR(INDEX('tuot-rehukirjanpito'!I:I,MATCH(A719,'tuot-rehukirjanpito'!G:G,0)),)=0,"",INDEX('tuot-rehukirjanpito'!I:I,MATCH(A719,'tuot-rehukirjanpito'!G:G,0)))</f>
        <v/>
      </c>
      <c r="AA719" s="224">
        <f>SUMIFS('tuot-INFO'!$K$10:$K$115,'tuot-INFO'!$A$10:$A$115,'tuot-PVÄ'!B719)</f>
        <v>0</v>
      </c>
      <c r="AB719" s="224">
        <f>SUMIFS('rehu-vesi-INFO'!$R:$R,'rehu-vesi-INFO'!$A:$A,'tuot-PVÄ'!B719)</f>
        <v>1746</v>
      </c>
      <c r="AC719" s="224">
        <f>SUMIFS('rehu-vesi-INFO'!$S:$S,'rehu-vesi-INFO'!$A:$A,'tuot-PVÄ'!B719)</f>
        <v>1853</v>
      </c>
      <c r="AD719" s="224">
        <f t="shared" si="201"/>
        <v>107</v>
      </c>
      <c r="AE719" s="224">
        <f t="shared" si="202"/>
        <v>0</v>
      </c>
      <c r="AF719" s="224">
        <f t="shared" si="203"/>
        <v>174.6</v>
      </c>
      <c r="AG719" s="224">
        <f t="shared" si="204"/>
        <v>10.7</v>
      </c>
      <c r="AH719" s="257">
        <f t="shared" si="206"/>
        <v>0</v>
      </c>
      <c r="AI719" s="258">
        <f t="shared" si="207"/>
        <v>0</v>
      </c>
      <c r="AJ719" s="55">
        <f>SUMIFS('tuot-INFO'!W:W,'tuot-INFO'!$A:$A,'tuot-PVÄ'!B719)</f>
        <v>0</v>
      </c>
      <c r="AK719" s="55">
        <f>SUMIFS('tuot-INFO'!X:X,'tuot-INFO'!$A:$A,'tuot-PVÄ'!B719)</f>
        <v>0</v>
      </c>
    </row>
    <row r="720" spans="1:37" x14ac:dyDescent="0.25">
      <c r="A720" s="169">
        <f t="shared" si="205"/>
        <v>43206</v>
      </c>
      <c r="B720" s="23">
        <f>ROUNDUP((A720-Yleistiedot!$B$4)/7,0)</f>
        <v>120</v>
      </c>
      <c r="C720" s="16"/>
      <c r="D720" s="25"/>
      <c r="E720" s="25"/>
      <c r="F720" s="25"/>
      <c r="G720" s="25"/>
      <c r="H720" s="25"/>
      <c r="I720" s="65">
        <f t="shared" si="200"/>
        <v>0</v>
      </c>
      <c r="J720" s="26"/>
      <c r="K720" s="25"/>
      <c r="L720" s="16"/>
      <c r="M720" s="16"/>
      <c r="N720" s="25"/>
      <c r="O720" s="30"/>
      <c r="P720" s="252">
        <f t="shared" si="195"/>
        <v>9990</v>
      </c>
      <c r="Q720" s="253">
        <f t="shared" si="196"/>
        <v>0</v>
      </c>
      <c r="R720" s="253">
        <f t="shared" si="197"/>
        <v>0</v>
      </c>
      <c r="S720" s="251">
        <f>SUMIFS('tuot-rehukirjanpito'!D:D,'tuot-rehukirjanpito'!A:A,A720)</f>
        <v>0</v>
      </c>
      <c r="T720" s="254">
        <f t="shared" si="208"/>
        <v>1098.9000000000001</v>
      </c>
      <c r="U720" s="254">
        <f t="shared" si="209"/>
        <v>1098.8999999999999</v>
      </c>
      <c r="V720" s="252">
        <f t="shared" si="210"/>
        <v>-789010.2000000102</v>
      </c>
      <c r="W720" s="255">
        <f t="shared" si="211"/>
        <v>-718.00000000000921</v>
      </c>
      <c r="X720" s="256" t="str">
        <f t="shared" si="198"/>
        <v/>
      </c>
      <c r="Y720" s="256" t="str">
        <f t="shared" si="199"/>
        <v/>
      </c>
      <c r="Z720" s="224" t="str">
        <f>IF(IFERROR(INDEX('tuot-rehukirjanpito'!I:I,MATCH(A720,'tuot-rehukirjanpito'!G:G,0)),)=0,"",INDEX('tuot-rehukirjanpito'!I:I,MATCH(A720,'tuot-rehukirjanpito'!G:G,0)))</f>
        <v/>
      </c>
      <c r="AA720" s="224">
        <f>SUMIFS('tuot-INFO'!$K$10:$K$115,'tuot-INFO'!$A$10:$A$115,'tuot-PVÄ'!B720)</f>
        <v>0</v>
      </c>
      <c r="AB720" s="224">
        <f>SUMIFS('rehu-vesi-INFO'!$R:$R,'rehu-vesi-INFO'!$A:$A,'tuot-PVÄ'!B720)</f>
        <v>1746</v>
      </c>
      <c r="AC720" s="224">
        <f>SUMIFS('rehu-vesi-INFO'!$S:$S,'rehu-vesi-INFO'!$A:$A,'tuot-PVÄ'!B720)</f>
        <v>1853</v>
      </c>
      <c r="AD720" s="224">
        <f t="shared" si="201"/>
        <v>107</v>
      </c>
      <c r="AE720" s="224">
        <f t="shared" si="202"/>
        <v>0</v>
      </c>
      <c r="AF720" s="224">
        <f t="shared" si="203"/>
        <v>174.6</v>
      </c>
      <c r="AG720" s="224">
        <f t="shared" si="204"/>
        <v>10.7</v>
      </c>
      <c r="AH720" s="257">
        <f t="shared" si="206"/>
        <v>0</v>
      </c>
      <c r="AI720" s="258">
        <f t="shared" si="207"/>
        <v>0</v>
      </c>
      <c r="AJ720" s="55">
        <f>SUMIFS('tuot-INFO'!W:W,'tuot-INFO'!$A:$A,'tuot-PVÄ'!B720)</f>
        <v>0</v>
      </c>
      <c r="AK720" s="55">
        <f>SUMIFS('tuot-INFO'!X:X,'tuot-INFO'!$A:$A,'tuot-PVÄ'!B720)</f>
        <v>0</v>
      </c>
    </row>
    <row r="721" spans="1:37" x14ac:dyDescent="0.25">
      <c r="A721" s="169">
        <f t="shared" si="205"/>
        <v>43207</v>
      </c>
      <c r="B721" s="23">
        <f>ROUNDUP((A721-Yleistiedot!$B$4)/7,0)</f>
        <v>120</v>
      </c>
      <c r="C721" s="16"/>
      <c r="D721" s="25"/>
      <c r="E721" s="25"/>
      <c r="F721" s="25"/>
      <c r="G721" s="25"/>
      <c r="H721" s="25"/>
      <c r="I721" s="65">
        <f t="shared" si="200"/>
        <v>0</v>
      </c>
      <c r="J721" s="26"/>
      <c r="K721" s="25"/>
      <c r="L721" s="16"/>
      <c r="M721" s="16"/>
      <c r="N721" s="25"/>
      <c r="O721" s="30"/>
      <c r="P721" s="252">
        <f t="shared" si="195"/>
        <v>9990</v>
      </c>
      <c r="Q721" s="253">
        <f t="shared" si="196"/>
        <v>0</v>
      </c>
      <c r="R721" s="253">
        <f t="shared" si="197"/>
        <v>0</v>
      </c>
      <c r="S721" s="251">
        <f>SUMIFS('tuot-rehukirjanpito'!D:D,'tuot-rehukirjanpito'!A:A,A721)</f>
        <v>0</v>
      </c>
      <c r="T721" s="254">
        <f t="shared" si="208"/>
        <v>1098.9000000000001</v>
      </c>
      <c r="U721" s="254">
        <f t="shared" si="209"/>
        <v>1098.8999999999999</v>
      </c>
      <c r="V721" s="252">
        <f t="shared" si="210"/>
        <v>-790109.10000001022</v>
      </c>
      <c r="W721" s="255">
        <f t="shared" si="211"/>
        <v>-719.00000000000921</v>
      </c>
      <c r="X721" s="256" t="str">
        <f t="shared" si="198"/>
        <v/>
      </c>
      <c r="Y721" s="256" t="str">
        <f t="shared" si="199"/>
        <v/>
      </c>
      <c r="Z721" s="224" t="str">
        <f>IF(IFERROR(INDEX('tuot-rehukirjanpito'!I:I,MATCH(A721,'tuot-rehukirjanpito'!G:G,0)),)=0,"",INDEX('tuot-rehukirjanpito'!I:I,MATCH(A721,'tuot-rehukirjanpito'!G:G,0)))</f>
        <v/>
      </c>
      <c r="AA721" s="224">
        <f>SUMIFS('tuot-INFO'!$K$10:$K$115,'tuot-INFO'!$A$10:$A$115,'tuot-PVÄ'!B721)</f>
        <v>0</v>
      </c>
      <c r="AB721" s="224">
        <f>SUMIFS('rehu-vesi-INFO'!$R:$R,'rehu-vesi-INFO'!$A:$A,'tuot-PVÄ'!B721)</f>
        <v>1746</v>
      </c>
      <c r="AC721" s="224">
        <f>SUMIFS('rehu-vesi-INFO'!$S:$S,'rehu-vesi-INFO'!$A:$A,'tuot-PVÄ'!B721)</f>
        <v>1853</v>
      </c>
      <c r="AD721" s="224">
        <f t="shared" si="201"/>
        <v>107</v>
      </c>
      <c r="AE721" s="224">
        <f t="shared" si="202"/>
        <v>0</v>
      </c>
      <c r="AF721" s="224">
        <f t="shared" si="203"/>
        <v>174.6</v>
      </c>
      <c r="AG721" s="224">
        <f t="shared" si="204"/>
        <v>10.7</v>
      </c>
      <c r="AH721" s="257">
        <f t="shared" si="206"/>
        <v>0</v>
      </c>
      <c r="AI721" s="258">
        <f t="shared" si="207"/>
        <v>0</v>
      </c>
      <c r="AJ721" s="55">
        <f>SUMIFS('tuot-INFO'!W:W,'tuot-INFO'!$A:$A,'tuot-PVÄ'!B721)</f>
        <v>0</v>
      </c>
      <c r="AK721" s="55">
        <f>SUMIFS('tuot-INFO'!X:X,'tuot-INFO'!$A:$A,'tuot-PVÄ'!B721)</f>
        <v>0</v>
      </c>
    </row>
    <row r="722" spans="1:37" x14ac:dyDescent="0.25">
      <c r="A722" s="169">
        <f t="shared" si="205"/>
        <v>43208</v>
      </c>
      <c r="B722" s="23">
        <f>ROUNDUP((A722-Yleistiedot!$B$4)/7,0)</f>
        <v>120</v>
      </c>
      <c r="C722" s="16"/>
      <c r="D722" s="25"/>
      <c r="E722" s="25"/>
      <c r="F722" s="25"/>
      <c r="G722" s="25"/>
      <c r="H722" s="25"/>
      <c r="I722" s="65">
        <f t="shared" si="200"/>
        <v>0</v>
      </c>
      <c r="J722" s="26"/>
      <c r="K722" s="25"/>
      <c r="L722" s="16"/>
      <c r="M722" s="16"/>
      <c r="N722" s="25"/>
      <c r="O722" s="30"/>
      <c r="P722" s="252">
        <f t="shared" si="195"/>
        <v>9990</v>
      </c>
      <c r="Q722" s="253">
        <f t="shared" si="196"/>
        <v>0</v>
      </c>
      <c r="R722" s="253">
        <f t="shared" si="197"/>
        <v>0</v>
      </c>
      <c r="S722" s="251">
        <f>SUMIFS('tuot-rehukirjanpito'!D:D,'tuot-rehukirjanpito'!A:A,A722)</f>
        <v>0</v>
      </c>
      <c r="T722" s="254">
        <f t="shared" si="208"/>
        <v>1098.9000000000001</v>
      </c>
      <c r="U722" s="254">
        <f t="shared" si="209"/>
        <v>1098.8999999999999</v>
      </c>
      <c r="V722" s="252">
        <f t="shared" si="210"/>
        <v>-791208.00000001024</v>
      </c>
      <c r="W722" s="255">
        <f t="shared" si="211"/>
        <v>-720.00000000000921</v>
      </c>
      <c r="X722" s="256" t="str">
        <f t="shared" si="198"/>
        <v/>
      </c>
      <c r="Y722" s="256" t="str">
        <f t="shared" si="199"/>
        <v/>
      </c>
      <c r="Z722" s="224" t="str">
        <f>IF(IFERROR(INDEX('tuot-rehukirjanpito'!I:I,MATCH(A722,'tuot-rehukirjanpito'!G:G,0)),)=0,"",INDEX('tuot-rehukirjanpito'!I:I,MATCH(A722,'tuot-rehukirjanpito'!G:G,0)))</f>
        <v/>
      </c>
      <c r="AA722" s="224">
        <f>SUMIFS('tuot-INFO'!$K$10:$K$115,'tuot-INFO'!$A$10:$A$115,'tuot-PVÄ'!B722)</f>
        <v>0</v>
      </c>
      <c r="AB722" s="224">
        <f>SUMIFS('rehu-vesi-INFO'!$R:$R,'rehu-vesi-INFO'!$A:$A,'tuot-PVÄ'!B722)</f>
        <v>1746</v>
      </c>
      <c r="AC722" s="224">
        <f>SUMIFS('rehu-vesi-INFO'!$S:$S,'rehu-vesi-INFO'!$A:$A,'tuot-PVÄ'!B722)</f>
        <v>1853</v>
      </c>
      <c r="AD722" s="224">
        <f t="shared" si="201"/>
        <v>107</v>
      </c>
      <c r="AE722" s="224">
        <f t="shared" si="202"/>
        <v>0</v>
      </c>
      <c r="AF722" s="224">
        <f t="shared" si="203"/>
        <v>174.6</v>
      </c>
      <c r="AG722" s="224">
        <f t="shared" si="204"/>
        <v>10.7</v>
      </c>
      <c r="AH722" s="257">
        <f t="shared" si="206"/>
        <v>0</v>
      </c>
      <c r="AI722" s="258">
        <f t="shared" si="207"/>
        <v>0</v>
      </c>
      <c r="AJ722" s="55">
        <f>SUMIFS('tuot-INFO'!W:W,'tuot-INFO'!$A:$A,'tuot-PVÄ'!B722)</f>
        <v>0</v>
      </c>
      <c r="AK722" s="55">
        <f>SUMIFS('tuot-INFO'!X:X,'tuot-INFO'!$A:$A,'tuot-PVÄ'!B722)</f>
        <v>0</v>
      </c>
    </row>
    <row r="723" spans="1:37" x14ac:dyDescent="0.25">
      <c r="A723" s="169">
        <f t="shared" si="205"/>
        <v>43209</v>
      </c>
      <c r="B723" s="23">
        <f>ROUNDUP((A723-Yleistiedot!$B$4)/7,0)</f>
        <v>120</v>
      </c>
      <c r="C723" s="16"/>
      <c r="D723" s="25"/>
      <c r="E723" s="25"/>
      <c r="F723" s="25"/>
      <c r="G723" s="25"/>
      <c r="H723" s="25"/>
      <c r="I723" s="65">
        <f t="shared" si="200"/>
        <v>0</v>
      </c>
      <c r="J723" s="26"/>
      <c r="K723" s="25"/>
      <c r="L723" s="16"/>
      <c r="M723" s="16"/>
      <c r="N723" s="25"/>
      <c r="O723" s="30"/>
      <c r="P723" s="252">
        <f t="shared" ref="P723:P744" si="212">P722-C723</f>
        <v>9990</v>
      </c>
      <c r="Q723" s="253">
        <f t="shared" ref="Q723:Q744" si="213">D723/P723*100</f>
        <v>0</v>
      </c>
      <c r="R723" s="253">
        <f t="shared" ref="R723:R744" si="214">I723/P723*100</f>
        <v>0</v>
      </c>
      <c r="S723" s="251">
        <f>SUMIFS('tuot-rehukirjanpito'!D:D,'tuot-rehukirjanpito'!A:A,A723)</f>
        <v>0</v>
      </c>
      <c r="T723" s="254">
        <f t="shared" si="208"/>
        <v>1098.9000000000001</v>
      </c>
      <c r="U723" s="254">
        <f t="shared" si="209"/>
        <v>1098.8999999999999</v>
      </c>
      <c r="V723" s="252">
        <f t="shared" si="210"/>
        <v>-792306.90000001027</v>
      </c>
      <c r="W723" s="255">
        <f t="shared" si="211"/>
        <v>-721.00000000000932</v>
      </c>
      <c r="X723" s="256" t="str">
        <f t="shared" si="198"/>
        <v/>
      </c>
      <c r="Y723" s="256" t="str">
        <f t="shared" si="199"/>
        <v/>
      </c>
      <c r="Z723" s="224" t="str">
        <f>IF(IFERROR(INDEX('tuot-rehukirjanpito'!I:I,MATCH(A723,'tuot-rehukirjanpito'!G:G,0)),)=0,"",INDEX('tuot-rehukirjanpito'!I:I,MATCH(A723,'tuot-rehukirjanpito'!G:G,0)))</f>
        <v/>
      </c>
      <c r="AA723" s="224">
        <f>SUMIFS('tuot-INFO'!$K$10:$K$115,'tuot-INFO'!$A$10:$A$115,'tuot-PVÄ'!B723)</f>
        <v>0</v>
      </c>
      <c r="AB723" s="224">
        <f>SUMIFS('rehu-vesi-INFO'!$R:$R,'rehu-vesi-INFO'!$A:$A,'tuot-PVÄ'!B723)</f>
        <v>1746</v>
      </c>
      <c r="AC723" s="224">
        <f>SUMIFS('rehu-vesi-INFO'!$S:$S,'rehu-vesi-INFO'!$A:$A,'tuot-PVÄ'!B723)</f>
        <v>1853</v>
      </c>
      <c r="AD723" s="224">
        <f t="shared" si="201"/>
        <v>107</v>
      </c>
      <c r="AE723" s="224">
        <f t="shared" si="202"/>
        <v>0</v>
      </c>
      <c r="AF723" s="224">
        <f t="shared" si="203"/>
        <v>174.6</v>
      </c>
      <c r="AG723" s="224">
        <f t="shared" si="204"/>
        <v>10.7</v>
      </c>
      <c r="AH723" s="257">
        <f t="shared" si="206"/>
        <v>0</v>
      </c>
      <c r="AI723" s="258">
        <f t="shared" si="207"/>
        <v>0</v>
      </c>
      <c r="AJ723" s="55">
        <f>SUMIFS('tuot-INFO'!W:W,'tuot-INFO'!$A:$A,'tuot-PVÄ'!B723)</f>
        <v>0</v>
      </c>
      <c r="AK723" s="55">
        <f>SUMIFS('tuot-INFO'!X:X,'tuot-INFO'!$A:$A,'tuot-PVÄ'!B723)</f>
        <v>0</v>
      </c>
    </row>
    <row r="724" spans="1:37" x14ac:dyDescent="0.25">
      <c r="A724" s="169">
        <f t="shared" si="205"/>
        <v>43210</v>
      </c>
      <c r="B724" s="23">
        <f>ROUNDUP((A724-Yleistiedot!$B$4)/7,0)</f>
        <v>120</v>
      </c>
      <c r="C724" s="16"/>
      <c r="D724" s="25"/>
      <c r="E724" s="25"/>
      <c r="F724" s="25"/>
      <c r="G724" s="25"/>
      <c r="H724" s="25"/>
      <c r="I724" s="65">
        <f t="shared" si="200"/>
        <v>0</v>
      </c>
      <c r="J724" s="26"/>
      <c r="K724" s="25"/>
      <c r="L724" s="16"/>
      <c r="M724" s="16"/>
      <c r="N724" s="25"/>
      <c r="O724" s="30"/>
      <c r="P724" s="252">
        <f t="shared" si="212"/>
        <v>9990</v>
      </c>
      <c r="Q724" s="253">
        <f t="shared" si="213"/>
        <v>0</v>
      </c>
      <c r="R724" s="253">
        <f t="shared" si="214"/>
        <v>0</v>
      </c>
      <c r="S724" s="251">
        <f>SUMIFS('tuot-rehukirjanpito'!D:D,'tuot-rehukirjanpito'!A:A,A724)</f>
        <v>0</v>
      </c>
      <c r="T724" s="254">
        <f t="shared" si="208"/>
        <v>1098.9000000000001</v>
      </c>
      <c r="U724" s="254">
        <f t="shared" si="209"/>
        <v>1098.8999999999999</v>
      </c>
      <c r="V724" s="252">
        <f t="shared" si="210"/>
        <v>-793405.80000001029</v>
      </c>
      <c r="W724" s="255">
        <f t="shared" si="211"/>
        <v>-722.00000000000932</v>
      </c>
      <c r="X724" s="256" t="str">
        <f t="shared" si="198"/>
        <v/>
      </c>
      <c r="Y724" s="256" t="str">
        <f t="shared" si="199"/>
        <v/>
      </c>
      <c r="Z724" s="224" t="str">
        <f>IF(IFERROR(INDEX('tuot-rehukirjanpito'!I:I,MATCH(A724,'tuot-rehukirjanpito'!G:G,0)),)=0,"",INDEX('tuot-rehukirjanpito'!I:I,MATCH(A724,'tuot-rehukirjanpito'!G:G,0)))</f>
        <v/>
      </c>
      <c r="AA724" s="224">
        <f>SUMIFS('tuot-INFO'!$K$10:$K$115,'tuot-INFO'!$A$10:$A$115,'tuot-PVÄ'!B724)</f>
        <v>0</v>
      </c>
      <c r="AB724" s="224">
        <f>SUMIFS('rehu-vesi-INFO'!$R:$R,'rehu-vesi-INFO'!$A:$A,'tuot-PVÄ'!B724)</f>
        <v>1746</v>
      </c>
      <c r="AC724" s="224">
        <f>SUMIFS('rehu-vesi-INFO'!$S:$S,'rehu-vesi-INFO'!$A:$A,'tuot-PVÄ'!B724)</f>
        <v>1853</v>
      </c>
      <c r="AD724" s="224">
        <f t="shared" si="201"/>
        <v>107</v>
      </c>
      <c r="AE724" s="224">
        <f t="shared" si="202"/>
        <v>0</v>
      </c>
      <c r="AF724" s="224">
        <f t="shared" si="203"/>
        <v>174.6</v>
      </c>
      <c r="AG724" s="224">
        <f t="shared" si="204"/>
        <v>10.7</v>
      </c>
      <c r="AH724" s="257">
        <f t="shared" si="206"/>
        <v>0</v>
      </c>
      <c r="AI724" s="258">
        <f t="shared" si="207"/>
        <v>0</v>
      </c>
      <c r="AJ724" s="55">
        <f>SUMIFS('tuot-INFO'!W:W,'tuot-INFO'!$A:$A,'tuot-PVÄ'!B724)</f>
        <v>0</v>
      </c>
      <c r="AK724" s="55">
        <f>SUMIFS('tuot-INFO'!X:X,'tuot-INFO'!$A:$A,'tuot-PVÄ'!B724)</f>
        <v>0</v>
      </c>
    </row>
    <row r="725" spans="1:37" x14ac:dyDescent="0.25">
      <c r="A725" s="169">
        <f t="shared" si="205"/>
        <v>43211</v>
      </c>
      <c r="B725" s="23">
        <f>ROUNDUP((A725-Yleistiedot!$B$4)/7,0)</f>
        <v>121</v>
      </c>
      <c r="C725" s="16"/>
      <c r="D725" s="25"/>
      <c r="E725" s="25"/>
      <c r="F725" s="25"/>
      <c r="G725" s="25"/>
      <c r="H725" s="25"/>
      <c r="I725" s="65">
        <f t="shared" si="200"/>
        <v>0</v>
      </c>
      <c r="J725" s="26"/>
      <c r="K725" s="25"/>
      <c r="L725" s="16"/>
      <c r="M725" s="16"/>
      <c r="N725" s="25"/>
      <c r="O725" s="30"/>
      <c r="P725" s="252">
        <f t="shared" si="212"/>
        <v>9990</v>
      </c>
      <c r="Q725" s="253">
        <f t="shared" si="213"/>
        <v>0</v>
      </c>
      <c r="R725" s="253">
        <f t="shared" si="214"/>
        <v>0</v>
      </c>
      <c r="S725" s="251">
        <f>SUMIFS('tuot-rehukirjanpito'!D:D,'tuot-rehukirjanpito'!A:A,A725)</f>
        <v>0</v>
      </c>
      <c r="T725" s="254">
        <f t="shared" si="208"/>
        <v>1098.9000000000001</v>
      </c>
      <c r="U725" s="254">
        <f t="shared" si="209"/>
        <v>1098.8999999999999</v>
      </c>
      <c r="V725" s="252">
        <f t="shared" si="210"/>
        <v>-794504.70000001031</v>
      </c>
      <c r="W725" s="255">
        <f t="shared" si="211"/>
        <v>-723.00000000000932</v>
      </c>
      <c r="X725" s="256" t="str">
        <f t="shared" si="198"/>
        <v/>
      </c>
      <c r="Y725" s="256" t="str">
        <f t="shared" si="199"/>
        <v/>
      </c>
      <c r="Z725" s="224" t="str">
        <f>IF(IFERROR(INDEX('tuot-rehukirjanpito'!I:I,MATCH(A725,'tuot-rehukirjanpito'!G:G,0)),)=0,"",INDEX('tuot-rehukirjanpito'!I:I,MATCH(A725,'tuot-rehukirjanpito'!G:G,0)))</f>
        <v/>
      </c>
      <c r="AA725" s="224">
        <f>SUMIFS('tuot-INFO'!$K$10:$K$115,'tuot-INFO'!$A$10:$A$115,'tuot-PVÄ'!B725)</f>
        <v>0</v>
      </c>
      <c r="AB725" s="224">
        <f>SUMIFS('rehu-vesi-INFO'!$R:$R,'rehu-vesi-INFO'!$A:$A,'tuot-PVÄ'!B725)</f>
        <v>0</v>
      </c>
      <c r="AC725" s="224">
        <f>SUMIFS('rehu-vesi-INFO'!$S:$S,'rehu-vesi-INFO'!$A:$A,'tuot-PVÄ'!B725)</f>
        <v>0</v>
      </c>
      <c r="AD725" s="224">
        <f t="shared" si="201"/>
        <v>0</v>
      </c>
      <c r="AE725" s="224">
        <f t="shared" si="202"/>
        <v>0</v>
      </c>
      <c r="AF725" s="224">
        <f t="shared" si="203"/>
        <v>0</v>
      </c>
      <c r="AG725" s="224">
        <f t="shared" si="204"/>
        <v>0</v>
      </c>
      <c r="AH725" s="257">
        <f t="shared" si="206"/>
        <v>0</v>
      </c>
      <c r="AI725" s="258">
        <f t="shared" si="207"/>
        <v>0</v>
      </c>
      <c r="AJ725" s="55">
        <f>SUMIFS('tuot-INFO'!W:W,'tuot-INFO'!$A:$A,'tuot-PVÄ'!B725)</f>
        <v>0</v>
      </c>
      <c r="AK725" s="55">
        <f>SUMIFS('tuot-INFO'!X:X,'tuot-INFO'!$A:$A,'tuot-PVÄ'!B725)</f>
        <v>0</v>
      </c>
    </row>
    <row r="726" spans="1:37" x14ac:dyDescent="0.25">
      <c r="A726" s="169">
        <f t="shared" si="205"/>
        <v>43212</v>
      </c>
      <c r="B726" s="23">
        <f>ROUNDUP((A726-Yleistiedot!$B$4)/7,0)</f>
        <v>121</v>
      </c>
      <c r="C726" s="16"/>
      <c r="D726" s="25"/>
      <c r="E726" s="25"/>
      <c r="F726" s="25"/>
      <c r="G726" s="25"/>
      <c r="H726" s="25"/>
      <c r="I726" s="65">
        <f t="shared" si="200"/>
        <v>0</v>
      </c>
      <c r="J726" s="26"/>
      <c r="K726" s="25"/>
      <c r="L726" s="16"/>
      <c r="M726" s="16"/>
      <c r="N726" s="25"/>
      <c r="O726" s="30"/>
      <c r="P726" s="252">
        <f t="shared" si="212"/>
        <v>9990</v>
      </c>
      <c r="Q726" s="253">
        <f t="shared" si="213"/>
        <v>0</v>
      </c>
      <c r="R726" s="253">
        <f t="shared" si="214"/>
        <v>0</v>
      </c>
      <c r="S726" s="251">
        <f>SUMIFS('tuot-rehukirjanpito'!D:D,'tuot-rehukirjanpito'!A:A,A726)</f>
        <v>0</v>
      </c>
      <c r="T726" s="254">
        <f t="shared" si="208"/>
        <v>1098.9000000000001</v>
      </c>
      <c r="U726" s="254">
        <f t="shared" si="209"/>
        <v>1098.8999999999999</v>
      </c>
      <c r="V726" s="252">
        <f t="shared" si="210"/>
        <v>-795603.60000001034</v>
      </c>
      <c r="W726" s="255">
        <f t="shared" si="211"/>
        <v>-724.00000000000932</v>
      </c>
      <c r="X726" s="256" t="str">
        <f t="shared" si="198"/>
        <v/>
      </c>
      <c r="Y726" s="256" t="str">
        <f t="shared" si="199"/>
        <v/>
      </c>
      <c r="Z726" s="224" t="str">
        <f>IF(IFERROR(INDEX('tuot-rehukirjanpito'!I:I,MATCH(A726,'tuot-rehukirjanpito'!G:G,0)),)=0,"",INDEX('tuot-rehukirjanpito'!I:I,MATCH(A726,'tuot-rehukirjanpito'!G:G,0)))</f>
        <v/>
      </c>
      <c r="AA726" s="224">
        <f>SUMIFS('tuot-INFO'!$K$10:$K$115,'tuot-INFO'!$A$10:$A$115,'tuot-PVÄ'!B726)</f>
        <v>0</v>
      </c>
      <c r="AB726" s="224">
        <f>SUMIFS('rehu-vesi-INFO'!$R:$R,'rehu-vesi-INFO'!$A:$A,'tuot-PVÄ'!B726)</f>
        <v>0</v>
      </c>
      <c r="AC726" s="224">
        <f>SUMIFS('rehu-vesi-INFO'!$S:$S,'rehu-vesi-INFO'!$A:$A,'tuot-PVÄ'!B726)</f>
        <v>0</v>
      </c>
      <c r="AD726" s="224">
        <f t="shared" si="201"/>
        <v>0</v>
      </c>
      <c r="AE726" s="224">
        <f t="shared" si="202"/>
        <v>0</v>
      </c>
      <c r="AF726" s="224">
        <f t="shared" si="203"/>
        <v>0</v>
      </c>
      <c r="AG726" s="224">
        <f t="shared" si="204"/>
        <v>0</v>
      </c>
      <c r="AH726" s="257">
        <f t="shared" si="206"/>
        <v>0</v>
      </c>
      <c r="AI726" s="258">
        <f t="shared" si="207"/>
        <v>0</v>
      </c>
      <c r="AJ726" s="55">
        <f>SUMIFS('tuot-INFO'!W:W,'tuot-INFO'!$A:$A,'tuot-PVÄ'!B726)</f>
        <v>0</v>
      </c>
      <c r="AK726" s="55">
        <f>SUMIFS('tuot-INFO'!X:X,'tuot-INFO'!$A:$A,'tuot-PVÄ'!B726)</f>
        <v>0</v>
      </c>
    </row>
    <row r="727" spans="1:37" x14ac:dyDescent="0.25">
      <c r="A727" s="169">
        <f t="shared" si="205"/>
        <v>43213</v>
      </c>
      <c r="B727" s="23">
        <f>ROUNDUP((A727-Yleistiedot!$B$4)/7,0)</f>
        <v>121</v>
      </c>
      <c r="C727" s="16"/>
      <c r="D727" s="25"/>
      <c r="E727" s="25"/>
      <c r="F727" s="25"/>
      <c r="G727" s="25"/>
      <c r="H727" s="25"/>
      <c r="I727" s="65">
        <f t="shared" si="200"/>
        <v>0</v>
      </c>
      <c r="J727" s="26"/>
      <c r="K727" s="25"/>
      <c r="L727" s="16"/>
      <c r="M727" s="16"/>
      <c r="N727" s="25"/>
      <c r="O727" s="30"/>
      <c r="P727" s="252">
        <f t="shared" si="212"/>
        <v>9990</v>
      </c>
      <c r="Q727" s="253">
        <f t="shared" si="213"/>
        <v>0</v>
      </c>
      <c r="R727" s="253">
        <f t="shared" si="214"/>
        <v>0</v>
      </c>
      <c r="S727" s="251">
        <f>SUMIFS('tuot-rehukirjanpito'!D:D,'tuot-rehukirjanpito'!A:A,A727)</f>
        <v>0</v>
      </c>
      <c r="T727" s="254">
        <f t="shared" si="208"/>
        <v>1098.9000000000001</v>
      </c>
      <c r="U727" s="254">
        <f t="shared" si="209"/>
        <v>1098.8999999999999</v>
      </c>
      <c r="V727" s="252">
        <f t="shared" si="210"/>
        <v>-796702.50000001036</v>
      </c>
      <c r="W727" s="255">
        <f t="shared" si="211"/>
        <v>-725.00000000000932</v>
      </c>
      <c r="X727" s="256" t="str">
        <f t="shared" ref="X727:X744" si="215">IF(S727&lt;&gt;0,ROUND(A727+W726,0),"")</f>
        <v/>
      </c>
      <c r="Y727" s="256" t="str">
        <f t="shared" ref="Y727:Y744" si="216">IF(S727&lt;&gt;0,ROUND(A727+W727,0),"")</f>
        <v/>
      </c>
      <c r="Z727" s="224" t="str">
        <f>IF(IFERROR(INDEX('tuot-rehukirjanpito'!I:I,MATCH(A727,'tuot-rehukirjanpito'!G:G,0)),)=0,"",INDEX('tuot-rehukirjanpito'!I:I,MATCH(A727,'tuot-rehukirjanpito'!G:G,0)))</f>
        <v/>
      </c>
      <c r="AA727" s="224">
        <f>SUMIFS('tuot-INFO'!$K$10:$K$115,'tuot-INFO'!$A$10:$A$115,'tuot-PVÄ'!B727)</f>
        <v>0</v>
      </c>
      <c r="AB727" s="224">
        <f>SUMIFS('rehu-vesi-INFO'!$R:$R,'rehu-vesi-INFO'!$A:$A,'tuot-PVÄ'!B727)</f>
        <v>0</v>
      </c>
      <c r="AC727" s="224">
        <f>SUMIFS('rehu-vesi-INFO'!$S:$S,'rehu-vesi-INFO'!$A:$A,'tuot-PVÄ'!B727)</f>
        <v>0</v>
      </c>
      <c r="AD727" s="224">
        <f t="shared" si="201"/>
        <v>0</v>
      </c>
      <c r="AE727" s="224">
        <f t="shared" si="202"/>
        <v>0</v>
      </c>
      <c r="AF727" s="224">
        <f t="shared" si="203"/>
        <v>0</v>
      </c>
      <c r="AG727" s="224">
        <f t="shared" si="204"/>
        <v>0</v>
      </c>
      <c r="AH727" s="257">
        <f t="shared" si="206"/>
        <v>0</v>
      </c>
      <c r="AI727" s="258">
        <f t="shared" si="207"/>
        <v>0</v>
      </c>
      <c r="AJ727" s="55">
        <f>SUMIFS('tuot-INFO'!W:W,'tuot-INFO'!$A:$A,'tuot-PVÄ'!B727)</f>
        <v>0</v>
      </c>
      <c r="AK727" s="55">
        <f>SUMIFS('tuot-INFO'!X:X,'tuot-INFO'!$A:$A,'tuot-PVÄ'!B727)</f>
        <v>0</v>
      </c>
    </row>
    <row r="728" spans="1:37" x14ac:dyDescent="0.25">
      <c r="A728" s="169">
        <f t="shared" si="205"/>
        <v>43214</v>
      </c>
      <c r="B728" s="23">
        <f>ROUNDUP((A728-Yleistiedot!$B$4)/7,0)</f>
        <v>121</v>
      </c>
      <c r="C728" s="16"/>
      <c r="D728" s="25"/>
      <c r="E728" s="25"/>
      <c r="F728" s="25"/>
      <c r="G728" s="25"/>
      <c r="H728" s="25"/>
      <c r="I728" s="65">
        <f t="shared" si="200"/>
        <v>0</v>
      </c>
      <c r="J728" s="26"/>
      <c r="K728" s="25"/>
      <c r="L728" s="16"/>
      <c r="M728" s="16"/>
      <c r="N728" s="25"/>
      <c r="O728" s="30"/>
      <c r="P728" s="252">
        <f t="shared" si="212"/>
        <v>9990</v>
      </c>
      <c r="Q728" s="253">
        <f t="shared" si="213"/>
        <v>0</v>
      </c>
      <c r="R728" s="253">
        <f t="shared" si="214"/>
        <v>0</v>
      </c>
      <c r="S728" s="251">
        <f>SUMIFS('tuot-rehukirjanpito'!D:D,'tuot-rehukirjanpito'!A:A,A728)</f>
        <v>0</v>
      </c>
      <c r="T728" s="254">
        <f t="shared" si="208"/>
        <v>1098.9000000000001</v>
      </c>
      <c r="U728" s="254">
        <f t="shared" si="209"/>
        <v>1098.8999999999999</v>
      </c>
      <c r="V728" s="252">
        <f t="shared" si="210"/>
        <v>-797801.40000001038</v>
      </c>
      <c r="W728" s="255">
        <f t="shared" si="211"/>
        <v>-726.00000000000944</v>
      </c>
      <c r="X728" s="256" t="str">
        <f t="shared" si="215"/>
        <v/>
      </c>
      <c r="Y728" s="256" t="str">
        <f t="shared" si="216"/>
        <v/>
      </c>
      <c r="Z728" s="224" t="str">
        <f>IF(IFERROR(INDEX('tuot-rehukirjanpito'!I:I,MATCH(A728,'tuot-rehukirjanpito'!G:G,0)),)=0,"",INDEX('tuot-rehukirjanpito'!I:I,MATCH(A728,'tuot-rehukirjanpito'!G:G,0)))</f>
        <v/>
      </c>
      <c r="AA728" s="224">
        <f>SUMIFS('tuot-INFO'!$K$10:$K$115,'tuot-INFO'!$A$10:$A$115,'tuot-PVÄ'!B728)</f>
        <v>0</v>
      </c>
      <c r="AB728" s="224">
        <f>SUMIFS('rehu-vesi-INFO'!$R:$R,'rehu-vesi-INFO'!$A:$A,'tuot-PVÄ'!B728)</f>
        <v>0</v>
      </c>
      <c r="AC728" s="224">
        <f>SUMIFS('rehu-vesi-INFO'!$S:$S,'rehu-vesi-INFO'!$A:$A,'tuot-PVÄ'!B728)</f>
        <v>0</v>
      </c>
      <c r="AD728" s="224">
        <f t="shared" si="201"/>
        <v>0</v>
      </c>
      <c r="AE728" s="224">
        <f t="shared" si="202"/>
        <v>0</v>
      </c>
      <c r="AF728" s="224">
        <f t="shared" si="203"/>
        <v>0</v>
      </c>
      <c r="AG728" s="224">
        <f t="shared" si="204"/>
        <v>0</v>
      </c>
      <c r="AH728" s="257">
        <f t="shared" si="206"/>
        <v>0</v>
      </c>
      <c r="AI728" s="258">
        <f t="shared" si="207"/>
        <v>0</v>
      </c>
      <c r="AJ728" s="55">
        <f>SUMIFS('tuot-INFO'!W:W,'tuot-INFO'!$A:$A,'tuot-PVÄ'!B728)</f>
        <v>0</v>
      </c>
      <c r="AK728" s="55">
        <f>SUMIFS('tuot-INFO'!X:X,'tuot-INFO'!$A:$A,'tuot-PVÄ'!B728)</f>
        <v>0</v>
      </c>
    </row>
    <row r="729" spans="1:37" x14ac:dyDescent="0.25">
      <c r="A729" s="169">
        <f t="shared" si="205"/>
        <v>43215</v>
      </c>
      <c r="B729" s="23">
        <f>ROUNDUP((A729-Yleistiedot!$B$4)/7,0)</f>
        <v>121</v>
      </c>
      <c r="C729" s="16"/>
      <c r="D729" s="25"/>
      <c r="E729" s="25"/>
      <c r="F729" s="25"/>
      <c r="G729" s="25"/>
      <c r="H729" s="25"/>
      <c r="I729" s="65">
        <f t="shared" si="200"/>
        <v>0</v>
      </c>
      <c r="J729" s="26"/>
      <c r="K729" s="25"/>
      <c r="L729" s="16"/>
      <c r="M729" s="16"/>
      <c r="N729" s="25"/>
      <c r="O729" s="30"/>
      <c r="P729" s="252">
        <f t="shared" si="212"/>
        <v>9990</v>
      </c>
      <c r="Q729" s="253">
        <f t="shared" si="213"/>
        <v>0</v>
      </c>
      <c r="R729" s="253">
        <f t="shared" si="214"/>
        <v>0</v>
      </c>
      <c r="S729" s="251">
        <f>SUMIFS('tuot-rehukirjanpito'!D:D,'tuot-rehukirjanpito'!A:A,A729)</f>
        <v>0</v>
      </c>
      <c r="T729" s="254">
        <f t="shared" si="208"/>
        <v>1098.9000000000001</v>
      </c>
      <c r="U729" s="254">
        <f t="shared" si="209"/>
        <v>1098.8999999999999</v>
      </c>
      <c r="V729" s="252">
        <f t="shared" si="210"/>
        <v>-798900.30000001041</v>
      </c>
      <c r="W729" s="255">
        <f t="shared" si="211"/>
        <v>-727.00000000000944</v>
      </c>
      <c r="X729" s="256" t="str">
        <f t="shared" si="215"/>
        <v/>
      </c>
      <c r="Y729" s="256" t="str">
        <f t="shared" si="216"/>
        <v/>
      </c>
      <c r="Z729" s="224" t="str">
        <f>IF(IFERROR(INDEX('tuot-rehukirjanpito'!I:I,MATCH(A729,'tuot-rehukirjanpito'!G:G,0)),)=0,"",INDEX('tuot-rehukirjanpito'!I:I,MATCH(A729,'tuot-rehukirjanpito'!G:G,0)))</f>
        <v/>
      </c>
      <c r="AA729" s="224">
        <f>SUMIFS('tuot-INFO'!$K$10:$K$115,'tuot-INFO'!$A$10:$A$115,'tuot-PVÄ'!B729)</f>
        <v>0</v>
      </c>
      <c r="AB729" s="224">
        <f>SUMIFS('rehu-vesi-INFO'!$R:$R,'rehu-vesi-INFO'!$A:$A,'tuot-PVÄ'!B729)</f>
        <v>0</v>
      </c>
      <c r="AC729" s="224">
        <f>SUMIFS('rehu-vesi-INFO'!$S:$S,'rehu-vesi-INFO'!$A:$A,'tuot-PVÄ'!B729)</f>
        <v>0</v>
      </c>
      <c r="AD729" s="224">
        <f t="shared" si="201"/>
        <v>0</v>
      </c>
      <c r="AE729" s="224">
        <f t="shared" si="202"/>
        <v>0</v>
      </c>
      <c r="AF729" s="224">
        <f t="shared" si="203"/>
        <v>0</v>
      </c>
      <c r="AG729" s="224">
        <f t="shared" si="204"/>
        <v>0</v>
      </c>
      <c r="AH729" s="257">
        <f t="shared" si="206"/>
        <v>0</v>
      </c>
      <c r="AI729" s="258">
        <f t="shared" si="207"/>
        <v>0</v>
      </c>
      <c r="AJ729" s="55">
        <f>SUMIFS('tuot-INFO'!W:W,'tuot-INFO'!$A:$A,'tuot-PVÄ'!B729)</f>
        <v>0</v>
      </c>
      <c r="AK729" s="55">
        <f>SUMIFS('tuot-INFO'!X:X,'tuot-INFO'!$A:$A,'tuot-PVÄ'!B729)</f>
        <v>0</v>
      </c>
    </row>
    <row r="730" spans="1:37" x14ac:dyDescent="0.25">
      <c r="A730" s="169">
        <f t="shared" si="205"/>
        <v>43216</v>
      </c>
      <c r="B730" s="23">
        <f>ROUNDUP((A730-Yleistiedot!$B$4)/7,0)</f>
        <v>121</v>
      </c>
      <c r="C730" s="16"/>
      <c r="D730" s="25"/>
      <c r="E730" s="25"/>
      <c r="F730" s="25"/>
      <c r="G730" s="25"/>
      <c r="H730" s="25"/>
      <c r="I730" s="65">
        <f t="shared" si="200"/>
        <v>0</v>
      </c>
      <c r="J730" s="26"/>
      <c r="K730" s="25"/>
      <c r="L730" s="16"/>
      <c r="M730" s="16"/>
      <c r="N730" s="25"/>
      <c r="O730" s="30"/>
      <c r="P730" s="252">
        <f t="shared" si="212"/>
        <v>9990</v>
      </c>
      <c r="Q730" s="253">
        <f t="shared" si="213"/>
        <v>0</v>
      </c>
      <c r="R730" s="253">
        <f t="shared" si="214"/>
        <v>0</v>
      </c>
      <c r="S730" s="251">
        <f>SUMIFS('tuot-rehukirjanpito'!D:D,'tuot-rehukirjanpito'!A:A,A730)</f>
        <v>0</v>
      </c>
      <c r="T730" s="254">
        <f t="shared" si="208"/>
        <v>1098.9000000000001</v>
      </c>
      <c r="U730" s="254">
        <f t="shared" si="209"/>
        <v>1098.8999999999999</v>
      </c>
      <c r="V730" s="252">
        <f t="shared" si="210"/>
        <v>-799999.20000001043</v>
      </c>
      <c r="W730" s="255">
        <f t="shared" si="211"/>
        <v>-728.00000000000944</v>
      </c>
      <c r="X730" s="256" t="str">
        <f t="shared" si="215"/>
        <v/>
      </c>
      <c r="Y730" s="256" t="str">
        <f t="shared" si="216"/>
        <v/>
      </c>
      <c r="Z730" s="224" t="str">
        <f>IF(IFERROR(INDEX('tuot-rehukirjanpito'!I:I,MATCH(A730,'tuot-rehukirjanpito'!G:G,0)),)=0,"",INDEX('tuot-rehukirjanpito'!I:I,MATCH(A730,'tuot-rehukirjanpito'!G:G,0)))</f>
        <v/>
      </c>
      <c r="AA730" s="224">
        <f>SUMIFS('tuot-INFO'!$K$10:$K$115,'tuot-INFO'!$A$10:$A$115,'tuot-PVÄ'!B730)</f>
        <v>0</v>
      </c>
      <c r="AB730" s="224">
        <f>SUMIFS('rehu-vesi-INFO'!$R:$R,'rehu-vesi-INFO'!$A:$A,'tuot-PVÄ'!B730)</f>
        <v>0</v>
      </c>
      <c r="AC730" s="224">
        <f>SUMIFS('rehu-vesi-INFO'!$S:$S,'rehu-vesi-INFO'!$A:$A,'tuot-PVÄ'!B730)</f>
        <v>0</v>
      </c>
      <c r="AD730" s="224">
        <f t="shared" si="201"/>
        <v>0</v>
      </c>
      <c r="AE730" s="224">
        <f t="shared" si="202"/>
        <v>0</v>
      </c>
      <c r="AF730" s="224">
        <f t="shared" si="203"/>
        <v>0</v>
      </c>
      <c r="AG730" s="224">
        <f t="shared" si="204"/>
        <v>0</v>
      </c>
      <c r="AH730" s="257">
        <f t="shared" si="206"/>
        <v>0</v>
      </c>
      <c r="AI730" s="258">
        <f t="shared" si="207"/>
        <v>0</v>
      </c>
      <c r="AJ730" s="55">
        <f>SUMIFS('tuot-INFO'!W:W,'tuot-INFO'!$A:$A,'tuot-PVÄ'!B730)</f>
        <v>0</v>
      </c>
      <c r="AK730" s="55">
        <f>SUMIFS('tuot-INFO'!X:X,'tuot-INFO'!$A:$A,'tuot-PVÄ'!B730)</f>
        <v>0</v>
      </c>
    </row>
    <row r="731" spans="1:37" x14ac:dyDescent="0.25">
      <c r="A731" s="169">
        <f t="shared" si="205"/>
        <v>43217</v>
      </c>
      <c r="B731" s="23">
        <f>ROUNDUP((A731-Yleistiedot!$B$4)/7,0)</f>
        <v>121</v>
      </c>
      <c r="C731" s="16"/>
      <c r="D731" s="25"/>
      <c r="E731" s="25"/>
      <c r="F731" s="25"/>
      <c r="G731" s="25"/>
      <c r="H731" s="25"/>
      <c r="I731" s="65">
        <f t="shared" si="200"/>
        <v>0</v>
      </c>
      <c r="J731" s="26"/>
      <c r="K731" s="25"/>
      <c r="L731" s="16"/>
      <c r="M731" s="16"/>
      <c r="N731" s="25"/>
      <c r="O731" s="30"/>
      <c r="P731" s="252">
        <f t="shared" si="212"/>
        <v>9990</v>
      </c>
      <c r="Q731" s="253">
        <f t="shared" si="213"/>
        <v>0</v>
      </c>
      <c r="R731" s="253">
        <f t="shared" si="214"/>
        <v>0</v>
      </c>
      <c r="S731" s="251">
        <f>SUMIFS('tuot-rehukirjanpito'!D:D,'tuot-rehukirjanpito'!A:A,A731)</f>
        <v>0</v>
      </c>
      <c r="T731" s="254">
        <f t="shared" si="208"/>
        <v>1098.9000000000001</v>
      </c>
      <c r="U731" s="254">
        <f t="shared" si="209"/>
        <v>1098.8999999999999</v>
      </c>
      <c r="V731" s="252">
        <f t="shared" si="210"/>
        <v>-801098.10000001045</v>
      </c>
      <c r="W731" s="255">
        <f t="shared" si="211"/>
        <v>-729.00000000000944</v>
      </c>
      <c r="X731" s="256" t="str">
        <f t="shared" si="215"/>
        <v/>
      </c>
      <c r="Y731" s="256" t="str">
        <f t="shared" si="216"/>
        <v/>
      </c>
      <c r="Z731" s="224" t="str">
        <f>IF(IFERROR(INDEX('tuot-rehukirjanpito'!I:I,MATCH(A731,'tuot-rehukirjanpito'!G:G,0)),)=0,"",INDEX('tuot-rehukirjanpito'!I:I,MATCH(A731,'tuot-rehukirjanpito'!G:G,0)))</f>
        <v/>
      </c>
      <c r="AA731" s="224">
        <f>SUMIFS('tuot-INFO'!$K$10:$K$115,'tuot-INFO'!$A$10:$A$115,'tuot-PVÄ'!B731)</f>
        <v>0</v>
      </c>
      <c r="AB731" s="224">
        <f>SUMIFS('rehu-vesi-INFO'!$R:$R,'rehu-vesi-INFO'!$A:$A,'tuot-PVÄ'!B731)</f>
        <v>0</v>
      </c>
      <c r="AC731" s="224">
        <f>SUMIFS('rehu-vesi-INFO'!$S:$S,'rehu-vesi-INFO'!$A:$A,'tuot-PVÄ'!B731)</f>
        <v>0</v>
      </c>
      <c r="AD731" s="224">
        <f t="shared" si="201"/>
        <v>0</v>
      </c>
      <c r="AE731" s="224">
        <f t="shared" si="202"/>
        <v>0</v>
      </c>
      <c r="AF731" s="224">
        <f t="shared" si="203"/>
        <v>0</v>
      </c>
      <c r="AG731" s="224">
        <f t="shared" si="204"/>
        <v>0</v>
      </c>
      <c r="AH731" s="257">
        <f t="shared" si="206"/>
        <v>0</v>
      </c>
      <c r="AI731" s="258">
        <f t="shared" si="207"/>
        <v>0</v>
      </c>
      <c r="AJ731" s="55">
        <f>SUMIFS('tuot-INFO'!W:W,'tuot-INFO'!$A:$A,'tuot-PVÄ'!B731)</f>
        <v>0</v>
      </c>
      <c r="AK731" s="55">
        <f>SUMIFS('tuot-INFO'!X:X,'tuot-INFO'!$A:$A,'tuot-PVÄ'!B731)</f>
        <v>0</v>
      </c>
    </row>
    <row r="732" spans="1:37" x14ac:dyDescent="0.25">
      <c r="A732" s="169">
        <f t="shared" si="205"/>
        <v>43218</v>
      </c>
      <c r="B732" s="23">
        <f>ROUNDUP((A732-Yleistiedot!$B$4)/7,0)</f>
        <v>122</v>
      </c>
      <c r="C732" s="16"/>
      <c r="D732" s="25"/>
      <c r="E732" s="25"/>
      <c r="F732" s="25"/>
      <c r="G732" s="25"/>
      <c r="H732" s="25"/>
      <c r="I732" s="65">
        <f t="shared" si="200"/>
        <v>0</v>
      </c>
      <c r="J732" s="26"/>
      <c r="K732" s="25"/>
      <c r="L732" s="16"/>
      <c r="M732" s="16"/>
      <c r="N732" s="25"/>
      <c r="O732" s="30"/>
      <c r="P732" s="252">
        <f t="shared" si="212"/>
        <v>9990</v>
      </c>
      <c r="Q732" s="253">
        <f t="shared" si="213"/>
        <v>0</v>
      </c>
      <c r="R732" s="253">
        <f t="shared" si="214"/>
        <v>0</v>
      </c>
      <c r="S732" s="251">
        <f>SUMIFS('tuot-rehukirjanpito'!D:D,'tuot-rehukirjanpito'!A:A,A732)</f>
        <v>0</v>
      </c>
      <c r="T732" s="254">
        <f t="shared" si="208"/>
        <v>1098.9000000000001</v>
      </c>
      <c r="U732" s="254">
        <f t="shared" si="209"/>
        <v>1098.8999999999999</v>
      </c>
      <c r="V732" s="252">
        <f t="shared" si="210"/>
        <v>-802197.00000001048</v>
      </c>
      <c r="W732" s="255">
        <f t="shared" si="211"/>
        <v>-730.00000000000944</v>
      </c>
      <c r="X732" s="256" t="str">
        <f t="shared" si="215"/>
        <v/>
      </c>
      <c r="Y732" s="256" t="str">
        <f t="shared" si="216"/>
        <v/>
      </c>
      <c r="Z732" s="224" t="str">
        <f>IF(IFERROR(INDEX('tuot-rehukirjanpito'!I:I,MATCH(A732,'tuot-rehukirjanpito'!G:G,0)),)=0,"",INDEX('tuot-rehukirjanpito'!I:I,MATCH(A732,'tuot-rehukirjanpito'!G:G,0)))</f>
        <v/>
      </c>
      <c r="AA732" s="224">
        <f>SUMIFS('tuot-INFO'!$K$10:$K$115,'tuot-INFO'!$A$10:$A$115,'tuot-PVÄ'!B732)</f>
        <v>0</v>
      </c>
      <c r="AB732" s="224">
        <f>SUMIFS('rehu-vesi-INFO'!$R:$R,'rehu-vesi-INFO'!$A:$A,'tuot-PVÄ'!B732)</f>
        <v>0</v>
      </c>
      <c r="AC732" s="224">
        <f>SUMIFS('rehu-vesi-INFO'!$S:$S,'rehu-vesi-INFO'!$A:$A,'tuot-PVÄ'!B732)</f>
        <v>0</v>
      </c>
      <c r="AD732" s="224">
        <f t="shared" si="201"/>
        <v>0</v>
      </c>
      <c r="AE732" s="224">
        <f t="shared" si="202"/>
        <v>0</v>
      </c>
      <c r="AF732" s="224">
        <f t="shared" si="203"/>
        <v>0</v>
      </c>
      <c r="AG732" s="224">
        <f t="shared" si="204"/>
        <v>0</v>
      </c>
      <c r="AH732" s="257">
        <f t="shared" si="206"/>
        <v>0</v>
      </c>
      <c r="AI732" s="258">
        <f t="shared" si="207"/>
        <v>0</v>
      </c>
      <c r="AJ732" s="55">
        <f>SUMIFS('tuot-INFO'!W:W,'tuot-INFO'!$A:$A,'tuot-PVÄ'!B732)</f>
        <v>0</v>
      </c>
      <c r="AK732" s="55">
        <f>SUMIFS('tuot-INFO'!X:X,'tuot-INFO'!$A:$A,'tuot-PVÄ'!B732)</f>
        <v>0</v>
      </c>
    </row>
    <row r="733" spans="1:37" x14ac:dyDescent="0.25">
      <c r="A733" s="169">
        <f t="shared" si="205"/>
        <v>43219</v>
      </c>
      <c r="B733" s="23">
        <f>ROUNDUP((A733-Yleistiedot!$B$4)/7,0)</f>
        <v>122</v>
      </c>
      <c r="C733" s="16"/>
      <c r="D733" s="25"/>
      <c r="E733" s="25"/>
      <c r="F733" s="25"/>
      <c r="G733" s="25"/>
      <c r="H733" s="25"/>
      <c r="I733" s="65">
        <f t="shared" si="200"/>
        <v>0</v>
      </c>
      <c r="J733" s="26"/>
      <c r="K733" s="25"/>
      <c r="L733" s="16"/>
      <c r="M733" s="16"/>
      <c r="N733" s="25"/>
      <c r="O733" s="30"/>
      <c r="P733" s="252">
        <f t="shared" si="212"/>
        <v>9990</v>
      </c>
      <c r="Q733" s="253">
        <f t="shared" si="213"/>
        <v>0</v>
      </c>
      <c r="R733" s="253">
        <f t="shared" si="214"/>
        <v>0</v>
      </c>
      <c r="S733" s="251">
        <f>SUMIFS('tuot-rehukirjanpito'!D:D,'tuot-rehukirjanpito'!A:A,A733)</f>
        <v>0</v>
      </c>
      <c r="T733" s="254">
        <f t="shared" si="208"/>
        <v>1098.9000000000001</v>
      </c>
      <c r="U733" s="254">
        <f t="shared" si="209"/>
        <v>1098.8999999999999</v>
      </c>
      <c r="V733" s="252">
        <f t="shared" si="210"/>
        <v>-803295.9000000105</v>
      </c>
      <c r="W733" s="255">
        <f t="shared" si="211"/>
        <v>-731.00000000000955</v>
      </c>
      <c r="X733" s="256" t="str">
        <f t="shared" si="215"/>
        <v/>
      </c>
      <c r="Y733" s="256" t="str">
        <f t="shared" si="216"/>
        <v/>
      </c>
      <c r="Z733" s="224" t="str">
        <f>IF(IFERROR(INDEX('tuot-rehukirjanpito'!I:I,MATCH(A733,'tuot-rehukirjanpito'!G:G,0)),)=0,"",INDEX('tuot-rehukirjanpito'!I:I,MATCH(A733,'tuot-rehukirjanpito'!G:G,0)))</f>
        <v/>
      </c>
      <c r="AA733" s="224">
        <f>SUMIFS('tuot-INFO'!$K$10:$K$115,'tuot-INFO'!$A$10:$A$115,'tuot-PVÄ'!B733)</f>
        <v>0</v>
      </c>
      <c r="AB733" s="224">
        <f>SUMIFS('rehu-vesi-INFO'!$R:$R,'rehu-vesi-INFO'!$A:$A,'tuot-PVÄ'!B733)</f>
        <v>0</v>
      </c>
      <c r="AC733" s="224">
        <f>SUMIFS('rehu-vesi-INFO'!$S:$S,'rehu-vesi-INFO'!$A:$A,'tuot-PVÄ'!B733)</f>
        <v>0</v>
      </c>
      <c r="AD733" s="224">
        <f t="shared" si="201"/>
        <v>0</v>
      </c>
      <c r="AE733" s="224">
        <f t="shared" si="202"/>
        <v>0</v>
      </c>
      <c r="AF733" s="224">
        <f t="shared" si="203"/>
        <v>0</v>
      </c>
      <c r="AG733" s="224">
        <f t="shared" si="204"/>
        <v>0</v>
      </c>
      <c r="AH733" s="257">
        <f t="shared" si="206"/>
        <v>0</v>
      </c>
      <c r="AI733" s="258">
        <f t="shared" si="207"/>
        <v>0</v>
      </c>
      <c r="AJ733" s="55">
        <f>SUMIFS('tuot-INFO'!W:W,'tuot-INFO'!$A:$A,'tuot-PVÄ'!B733)</f>
        <v>0</v>
      </c>
      <c r="AK733" s="55">
        <f>SUMIFS('tuot-INFO'!X:X,'tuot-INFO'!$A:$A,'tuot-PVÄ'!B733)</f>
        <v>0</v>
      </c>
    </row>
    <row r="734" spans="1:37" x14ac:dyDescent="0.25">
      <c r="A734" s="169">
        <f t="shared" si="205"/>
        <v>43220</v>
      </c>
      <c r="B734" s="23">
        <f>ROUNDUP((A734-Yleistiedot!$B$4)/7,0)</f>
        <v>122</v>
      </c>
      <c r="C734" s="16"/>
      <c r="D734" s="25"/>
      <c r="E734" s="25"/>
      <c r="F734" s="25"/>
      <c r="G734" s="25"/>
      <c r="H734" s="25"/>
      <c r="I734" s="65">
        <f t="shared" si="200"/>
        <v>0</v>
      </c>
      <c r="J734" s="26"/>
      <c r="K734" s="25"/>
      <c r="L734" s="16"/>
      <c r="M734" s="16"/>
      <c r="N734" s="25"/>
      <c r="O734" s="30"/>
      <c r="P734" s="252">
        <f t="shared" si="212"/>
        <v>9990</v>
      </c>
      <c r="Q734" s="253">
        <f t="shared" si="213"/>
        <v>0</v>
      </c>
      <c r="R734" s="253">
        <f t="shared" si="214"/>
        <v>0</v>
      </c>
      <c r="S734" s="251">
        <f>SUMIFS('tuot-rehukirjanpito'!D:D,'tuot-rehukirjanpito'!A:A,A734)</f>
        <v>0</v>
      </c>
      <c r="T734" s="254">
        <f t="shared" si="208"/>
        <v>1098.9000000000001</v>
      </c>
      <c r="U734" s="254">
        <f t="shared" si="209"/>
        <v>1098.8999999999999</v>
      </c>
      <c r="V734" s="252">
        <f t="shared" si="210"/>
        <v>-804394.80000001052</v>
      </c>
      <c r="W734" s="255">
        <f t="shared" si="211"/>
        <v>-732.00000000000955</v>
      </c>
      <c r="X734" s="256" t="str">
        <f t="shared" si="215"/>
        <v/>
      </c>
      <c r="Y734" s="256" t="str">
        <f t="shared" si="216"/>
        <v/>
      </c>
      <c r="Z734" s="224" t="str">
        <f>IF(IFERROR(INDEX('tuot-rehukirjanpito'!I:I,MATCH(A734,'tuot-rehukirjanpito'!G:G,0)),)=0,"",INDEX('tuot-rehukirjanpito'!I:I,MATCH(A734,'tuot-rehukirjanpito'!G:G,0)))</f>
        <v/>
      </c>
      <c r="AA734" s="224">
        <f>SUMIFS('tuot-INFO'!$K$10:$K$115,'tuot-INFO'!$A$10:$A$115,'tuot-PVÄ'!B734)</f>
        <v>0</v>
      </c>
      <c r="AB734" s="224">
        <f>SUMIFS('rehu-vesi-INFO'!$R:$R,'rehu-vesi-INFO'!$A:$A,'tuot-PVÄ'!B734)</f>
        <v>0</v>
      </c>
      <c r="AC734" s="224">
        <f>SUMIFS('rehu-vesi-INFO'!$S:$S,'rehu-vesi-INFO'!$A:$A,'tuot-PVÄ'!B734)</f>
        <v>0</v>
      </c>
      <c r="AD734" s="224">
        <f t="shared" si="201"/>
        <v>0</v>
      </c>
      <c r="AE734" s="224">
        <f t="shared" si="202"/>
        <v>0</v>
      </c>
      <c r="AF734" s="224">
        <f t="shared" si="203"/>
        <v>0</v>
      </c>
      <c r="AG734" s="224">
        <f t="shared" si="204"/>
        <v>0</v>
      </c>
      <c r="AH734" s="257">
        <f t="shared" si="206"/>
        <v>0</v>
      </c>
      <c r="AI734" s="258">
        <f t="shared" si="207"/>
        <v>0</v>
      </c>
      <c r="AJ734" s="55">
        <f>SUMIFS('tuot-INFO'!W:W,'tuot-INFO'!$A:$A,'tuot-PVÄ'!B734)</f>
        <v>0</v>
      </c>
      <c r="AK734" s="55">
        <f>SUMIFS('tuot-INFO'!X:X,'tuot-INFO'!$A:$A,'tuot-PVÄ'!B734)</f>
        <v>0</v>
      </c>
    </row>
    <row r="735" spans="1:37" x14ac:dyDescent="0.25">
      <c r="A735" s="169">
        <f t="shared" si="205"/>
        <v>43221</v>
      </c>
      <c r="B735" s="23">
        <f>ROUNDUP((A735-Yleistiedot!$B$4)/7,0)</f>
        <v>122</v>
      </c>
      <c r="C735" s="16"/>
      <c r="D735" s="25"/>
      <c r="E735" s="25"/>
      <c r="F735" s="25"/>
      <c r="G735" s="25"/>
      <c r="H735" s="25"/>
      <c r="I735" s="65">
        <f t="shared" si="200"/>
        <v>0</v>
      </c>
      <c r="J735" s="26"/>
      <c r="K735" s="25"/>
      <c r="L735" s="16"/>
      <c r="M735" s="16"/>
      <c r="N735" s="25"/>
      <c r="O735" s="30"/>
      <c r="P735" s="252">
        <f t="shared" si="212"/>
        <v>9990</v>
      </c>
      <c r="Q735" s="253">
        <f t="shared" si="213"/>
        <v>0</v>
      </c>
      <c r="R735" s="253">
        <f t="shared" si="214"/>
        <v>0</v>
      </c>
      <c r="S735" s="251">
        <f>SUMIFS('tuot-rehukirjanpito'!D:D,'tuot-rehukirjanpito'!A:A,A735)</f>
        <v>0</v>
      </c>
      <c r="T735" s="254">
        <f t="shared" si="208"/>
        <v>1098.9000000000001</v>
      </c>
      <c r="U735" s="254">
        <f t="shared" si="209"/>
        <v>1098.8999999999999</v>
      </c>
      <c r="V735" s="252">
        <f t="shared" si="210"/>
        <v>-805493.70000001055</v>
      </c>
      <c r="W735" s="255">
        <f t="shared" si="211"/>
        <v>-733.00000000000955</v>
      </c>
      <c r="X735" s="256" t="str">
        <f t="shared" si="215"/>
        <v/>
      </c>
      <c r="Y735" s="256" t="str">
        <f t="shared" si="216"/>
        <v/>
      </c>
      <c r="Z735" s="224" t="str">
        <f>IF(IFERROR(INDEX('tuot-rehukirjanpito'!I:I,MATCH(A735,'tuot-rehukirjanpito'!G:G,0)),)=0,"",INDEX('tuot-rehukirjanpito'!I:I,MATCH(A735,'tuot-rehukirjanpito'!G:G,0)))</f>
        <v/>
      </c>
      <c r="AA735" s="224">
        <f>SUMIFS('tuot-INFO'!$K$10:$K$115,'tuot-INFO'!$A$10:$A$115,'tuot-PVÄ'!B735)</f>
        <v>0</v>
      </c>
      <c r="AB735" s="224">
        <f>SUMIFS('rehu-vesi-INFO'!$R:$R,'rehu-vesi-INFO'!$A:$A,'tuot-PVÄ'!B735)</f>
        <v>0</v>
      </c>
      <c r="AC735" s="224">
        <f>SUMIFS('rehu-vesi-INFO'!$S:$S,'rehu-vesi-INFO'!$A:$A,'tuot-PVÄ'!B735)</f>
        <v>0</v>
      </c>
      <c r="AD735" s="224">
        <f t="shared" si="201"/>
        <v>0</v>
      </c>
      <c r="AE735" s="224">
        <f t="shared" si="202"/>
        <v>0</v>
      </c>
      <c r="AF735" s="224">
        <f t="shared" si="203"/>
        <v>0</v>
      </c>
      <c r="AG735" s="224">
        <f t="shared" si="204"/>
        <v>0</v>
      </c>
      <c r="AH735" s="257">
        <f t="shared" si="206"/>
        <v>0</v>
      </c>
      <c r="AI735" s="258">
        <f t="shared" si="207"/>
        <v>0</v>
      </c>
      <c r="AJ735" s="55">
        <f>SUMIFS('tuot-INFO'!W:W,'tuot-INFO'!$A:$A,'tuot-PVÄ'!B735)</f>
        <v>0</v>
      </c>
      <c r="AK735" s="55">
        <f>SUMIFS('tuot-INFO'!X:X,'tuot-INFO'!$A:$A,'tuot-PVÄ'!B735)</f>
        <v>0</v>
      </c>
    </row>
    <row r="736" spans="1:37" x14ac:dyDescent="0.25">
      <c r="A736" s="169">
        <f t="shared" si="205"/>
        <v>43222</v>
      </c>
      <c r="B736" s="23">
        <f>ROUNDUP((A736-Yleistiedot!$B$4)/7,0)</f>
        <v>122</v>
      </c>
      <c r="C736" s="16"/>
      <c r="D736" s="25"/>
      <c r="E736" s="25"/>
      <c r="F736" s="25"/>
      <c r="G736" s="25"/>
      <c r="H736" s="25"/>
      <c r="I736" s="65">
        <f t="shared" si="200"/>
        <v>0</v>
      </c>
      <c r="J736" s="26"/>
      <c r="K736" s="25"/>
      <c r="L736" s="16"/>
      <c r="M736" s="16"/>
      <c r="N736" s="25"/>
      <c r="O736" s="30"/>
      <c r="P736" s="252">
        <f t="shared" si="212"/>
        <v>9990</v>
      </c>
      <c r="Q736" s="253">
        <f t="shared" si="213"/>
        <v>0</v>
      </c>
      <c r="R736" s="253">
        <f t="shared" si="214"/>
        <v>0</v>
      </c>
      <c r="S736" s="251">
        <f>SUMIFS('tuot-rehukirjanpito'!D:D,'tuot-rehukirjanpito'!A:A,A736)</f>
        <v>0</v>
      </c>
      <c r="T736" s="254">
        <f t="shared" si="208"/>
        <v>1098.9000000000001</v>
      </c>
      <c r="U736" s="254">
        <f t="shared" si="209"/>
        <v>1098.8999999999999</v>
      </c>
      <c r="V736" s="252">
        <f t="shared" si="210"/>
        <v>-806592.60000001057</v>
      </c>
      <c r="W736" s="255">
        <f t="shared" si="211"/>
        <v>-734.00000000000955</v>
      </c>
      <c r="X736" s="256" t="str">
        <f t="shared" si="215"/>
        <v/>
      </c>
      <c r="Y736" s="256" t="str">
        <f t="shared" si="216"/>
        <v/>
      </c>
      <c r="Z736" s="224" t="str">
        <f>IF(IFERROR(INDEX('tuot-rehukirjanpito'!I:I,MATCH(A736,'tuot-rehukirjanpito'!G:G,0)),)=0,"",INDEX('tuot-rehukirjanpito'!I:I,MATCH(A736,'tuot-rehukirjanpito'!G:G,0)))</f>
        <v/>
      </c>
      <c r="AA736" s="224">
        <f>SUMIFS('tuot-INFO'!$K$10:$K$115,'tuot-INFO'!$A$10:$A$115,'tuot-PVÄ'!B736)</f>
        <v>0</v>
      </c>
      <c r="AB736" s="224">
        <f>SUMIFS('rehu-vesi-INFO'!$R:$R,'rehu-vesi-INFO'!$A:$A,'tuot-PVÄ'!B736)</f>
        <v>0</v>
      </c>
      <c r="AC736" s="224">
        <f>SUMIFS('rehu-vesi-INFO'!$S:$S,'rehu-vesi-INFO'!$A:$A,'tuot-PVÄ'!B736)</f>
        <v>0</v>
      </c>
      <c r="AD736" s="224">
        <f t="shared" si="201"/>
        <v>0</v>
      </c>
      <c r="AE736" s="224">
        <f t="shared" si="202"/>
        <v>0</v>
      </c>
      <c r="AF736" s="224">
        <f t="shared" si="203"/>
        <v>0</v>
      </c>
      <c r="AG736" s="224">
        <f t="shared" si="204"/>
        <v>0</v>
      </c>
      <c r="AH736" s="257">
        <f t="shared" si="206"/>
        <v>0</v>
      </c>
      <c r="AI736" s="258">
        <f t="shared" si="207"/>
        <v>0</v>
      </c>
      <c r="AJ736" s="55">
        <f>SUMIFS('tuot-INFO'!W:W,'tuot-INFO'!$A:$A,'tuot-PVÄ'!B736)</f>
        <v>0</v>
      </c>
      <c r="AK736" s="55">
        <f>SUMIFS('tuot-INFO'!X:X,'tuot-INFO'!$A:$A,'tuot-PVÄ'!B736)</f>
        <v>0</v>
      </c>
    </row>
    <row r="737" spans="1:37" x14ac:dyDescent="0.25">
      <c r="A737" s="169">
        <f t="shared" si="205"/>
        <v>43223</v>
      </c>
      <c r="B737" s="23">
        <f>ROUNDUP((A737-Yleistiedot!$B$4)/7,0)</f>
        <v>122</v>
      </c>
      <c r="C737" s="16"/>
      <c r="D737" s="25"/>
      <c r="E737" s="25"/>
      <c r="F737" s="25"/>
      <c r="G737" s="25"/>
      <c r="H737" s="25"/>
      <c r="I737" s="65">
        <f t="shared" si="200"/>
        <v>0</v>
      </c>
      <c r="J737" s="26"/>
      <c r="K737" s="25"/>
      <c r="L737" s="16"/>
      <c r="M737" s="16"/>
      <c r="N737" s="25"/>
      <c r="O737" s="30"/>
      <c r="P737" s="252">
        <f t="shared" si="212"/>
        <v>9990</v>
      </c>
      <c r="Q737" s="253">
        <f t="shared" si="213"/>
        <v>0</v>
      </c>
      <c r="R737" s="253">
        <f t="shared" si="214"/>
        <v>0</v>
      </c>
      <c r="S737" s="251">
        <f>SUMIFS('tuot-rehukirjanpito'!D:D,'tuot-rehukirjanpito'!A:A,A737)</f>
        <v>0</v>
      </c>
      <c r="T737" s="254">
        <f t="shared" si="208"/>
        <v>1098.9000000000001</v>
      </c>
      <c r="U737" s="254">
        <f t="shared" si="209"/>
        <v>1098.8999999999999</v>
      </c>
      <c r="V737" s="252">
        <f t="shared" si="210"/>
        <v>-807691.50000001059</v>
      </c>
      <c r="W737" s="255">
        <f t="shared" si="211"/>
        <v>-735.00000000000955</v>
      </c>
      <c r="X737" s="256" t="str">
        <f t="shared" si="215"/>
        <v/>
      </c>
      <c r="Y737" s="256" t="str">
        <f t="shared" si="216"/>
        <v/>
      </c>
      <c r="Z737" s="224" t="str">
        <f>IF(IFERROR(INDEX('tuot-rehukirjanpito'!I:I,MATCH(A737,'tuot-rehukirjanpito'!G:G,0)),)=0,"",INDEX('tuot-rehukirjanpito'!I:I,MATCH(A737,'tuot-rehukirjanpito'!G:G,0)))</f>
        <v/>
      </c>
      <c r="AA737" s="224">
        <f>SUMIFS('tuot-INFO'!$K$10:$K$115,'tuot-INFO'!$A$10:$A$115,'tuot-PVÄ'!B737)</f>
        <v>0</v>
      </c>
      <c r="AB737" s="224">
        <f>SUMIFS('rehu-vesi-INFO'!$R:$R,'rehu-vesi-INFO'!$A:$A,'tuot-PVÄ'!B737)</f>
        <v>0</v>
      </c>
      <c r="AC737" s="224">
        <f>SUMIFS('rehu-vesi-INFO'!$S:$S,'rehu-vesi-INFO'!$A:$A,'tuot-PVÄ'!B737)</f>
        <v>0</v>
      </c>
      <c r="AD737" s="224">
        <f t="shared" si="201"/>
        <v>0</v>
      </c>
      <c r="AE737" s="224">
        <f t="shared" si="202"/>
        <v>0</v>
      </c>
      <c r="AF737" s="224">
        <f t="shared" si="203"/>
        <v>0</v>
      </c>
      <c r="AG737" s="224">
        <f t="shared" si="204"/>
        <v>0</v>
      </c>
      <c r="AH737" s="257">
        <f t="shared" si="206"/>
        <v>0</v>
      </c>
      <c r="AI737" s="258">
        <f t="shared" si="207"/>
        <v>0</v>
      </c>
      <c r="AJ737" s="55">
        <f>SUMIFS('tuot-INFO'!W:W,'tuot-INFO'!$A:$A,'tuot-PVÄ'!B737)</f>
        <v>0</v>
      </c>
      <c r="AK737" s="55">
        <f>SUMIFS('tuot-INFO'!X:X,'tuot-INFO'!$A:$A,'tuot-PVÄ'!B737)</f>
        <v>0</v>
      </c>
    </row>
    <row r="738" spans="1:37" x14ac:dyDescent="0.25">
      <c r="A738" s="169">
        <f t="shared" si="205"/>
        <v>43224</v>
      </c>
      <c r="B738" s="23">
        <f>ROUNDUP((A738-Yleistiedot!$B$4)/7,0)</f>
        <v>122</v>
      </c>
      <c r="C738" s="16"/>
      <c r="D738" s="25"/>
      <c r="E738" s="25"/>
      <c r="F738" s="25"/>
      <c r="G738" s="25"/>
      <c r="H738" s="25"/>
      <c r="I738" s="65">
        <f t="shared" si="200"/>
        <v>0</v>
      </c>
      <c r="J738" s="26"/>
      <c r="K738" s="25"/>
      <c r="L738" s="16"/>
      <c r="M738" s="16"/>
      <c r="N738" s="25"/>
      <c r="O738" s="30"/>
      <c r="P738" s="252">
        <f t="shared" si="212"/>
        <v>9990</v>
      </c>
      <c r="Q738" s="253">
        <f t="shared" si="213"/>
        <v>0</v>
      </c>
      <c r="R738" s="253">
        <f t="shared" si="214"/>
        <v>0</v>
      </c>
      <c r="S738" s="251">
        <f>SUMIFS('tuot-rehukirjanpito'!D:D,'tuot-rehukirjanpito'!A:A,A738)</f>
        <v>0</v>
      </c>
      <c r="T738" s="254">
        <f t="shared" si="208"/>
        <v>1098.9000000000001</v>
      </c>
      <c r="U738" s="254">
        <f t="shared" si="209"/>
        <v>1098.8999999999999</v>
      </c>
      <c r="V738" s="252">
        <f t="shared" si="210"/>
        <v>-808790.40000001062</v>
      </c>
      <c r="W738" s="255">
        <f t="shared" si="211"/>
        <v>-736.00000000000955</v>
      </c>
      <c r="X738" s="256" t="str">
        <f t="shared" si="215"/>
        <v/>
      </c>
      <c r="Y738" s="256" t="str">
        <f t="shared" si="216"/>
        <v/>
      </c>
      <c r="Z738" s="224" t="str">
        <f>IF(IFERROR(INDEX('tuot-rehukirjanpito'!I:I,MATCH(A738,'tuot-rehukirjanpito'!G:G,0)),)=0,"",INDEX('tuot-rehukirjanpito'!I:I,MATCH(A738,'tuot-rehukirjanpito'!G:G,0)))</f>
        <v/>
      </c>
      <c r="AA738" s="224">
        <f>SUMIFS('tuot-INFO'!$K$10:$K$115,'tuot-INFO'!$A$10:$A$115,'tuot-PVÄ'!B738)</f>
        <v>0</v>
      </c>
      <c r="AB738" s="224">
        <f>SUMIFS('rehu-vesi-INFO'!$R:$R,'rehu-vesi-INFO'!$A:$A,'tuot-PVÄ'!B738)</f>
        <v>0</v>
      </c>
      <c r="AC738" s="224">
        <f>SUMIFS('rehu-vesi-INFO'!$S:$S,'rehu-vesi-INFO'!$A:$A,'tuot-PVÄ'!B738)</f>
        <v>0</v>
      </c>
      <c r="AD738" s="224">
        <f t="shared" si="201"/>
        <v>0</v>
      </c>
      <c r="AE738" s="224">
        <f t="shared" si="202"/>
        <v>0</v>
      </c>
      <c r="AF738" s="224">
        <f t="shared" si="203"/>
        <v>0</v>
      </c>
      <c r="AG738" s="224">
        <f t="shared" si="204"/>
        <v>0</v>
      </c>
      <c r="AH738" s="257">
        <f t="shared" si="206"/>
        <v>0</v>
      </c>
      <c r="AI738" s="258">
        <f t="shared" si="207"/>
        <v>0</v>
      </c>
      <c r="AJ738" s="55">
        <f>SUMIFS('tuot-INFO'!W:W,'tuot-INFO'!$A:$A,'tuot-PVÄ'!B738)</f>
        <v>0</v>
      </c>
      <c r="AK738" s="55">
        <f>SUMIFS('tuot-INFO'!X:X,'tuot-INFO'!$A:$A,'tuot-PVÄ'!B738)</f>
        <v>0</v>
      </c>
    </row>
    <row r="739" spans="1:37" x14ac:dyDescent="0.25">
      <c r="A739" s="169">
        <f t="shared" si="205"/>
        <v>43225</v>
      </c>
      <c r="B739" s="23">
        <f>ROUNDUP((A739-Yleistiedot!$B$4)/7,0)</f>
        <v>123</v>
      </c>
      <c r="C739" s="16"/>
      <c r="D739" s="25"/>
      <c r="E739" s="25"/>
      <c r="F739" s="25"/>
      <c r="G739" s="25"/>
      <c r="H739" s="25"/>
      <c r="I739" s="65">
        <f t="shared" si="200"/>
        <v>0</v>
      </c>
      <c r="J739" s="26"/>
      <c r="K739" s="25"/>
      <c r="L739" s="16"/>
      <c r="M739" s="16"/>
      <c r="N739" s="25"/>
      <c r="O739" s="30"/>
      <c r="P739" s="252">
        <f t="shared" si="212"/>
        <v>9990</v>
      </c>
      <c r="Q739" s="253">
        <f t="shared" si="213"/>
        <v>0</v>
      </c>
      <c r="R739" s="253">
        <f t="shared" si="214"/>
        <v>0</v>
      </c>
      <c r="S739" s="251">
        <f>SUMIFS('tuot-rehukirjanpito'!D:D,'tuot-rehukirjanpito'!A:A,A739)</f>
        <v>0</v>
      </c>
      <c r="T739" s="254">
        <f t="shared" si="208"/>
        <v>1098.9000000000001</v>
      </c>
      <c r="U739" s="254">
        <f t="shared" si="209"/>
        <v>1098.8999999999999</v>
      </c>
      <c r="V739" s="252">
        <f t="shared" si="210"/>
        <v>-809889.30000001064</v>
      </c>
      <c r="W739" s="255">
        <f t="shared" si="211"/>
        <v>-737.00000000000966</v>
      </c>
      <c r="X739" s="256" t="str">
        <f t="shared" si="215"/>
        <v/>
      </c>
      <c r="Y739" s="256" t="str">
        <f t="shared" si="216"/>
        <v/>
      </c>
      <c r="Z739" s="224" t="str">
        <f>IF(IFERROR(INDEX('tuot-rehukirjanpito'!I:I,MATCH(A739,'tuot-rehukirjanpito'!G:G,0)),)=0,"",INDEX('tuot-rehukirjanpito'!I:I,MATCH(A739,'tuot-rehukirjanpito'!G:G,0)))</f>
        <v/>
      </c>
      <c r="AA739" s="224">
        <f>SUMIFS('tuot-INFO'!$K$10:$K$115,'tuot-INFO'!$A$10:$A$115,'tuot-PVÄ'!B739)</f>
        <v>0</v>
      </c>
      <c r="AB739" s="224">
        <f>SUMIFS('rehu-vesi-INFO'!$R:$R,'rehu-vesi-INFO'!$A:$A,'tuot-PVÄ'!B739)</f>
        <v>0</v>
      </c>
      <c r="AC739" s="224">
        <f>SUMIFS('rehu-vesi-INFO'!$S:$S,'rehu-vesi-INFO'!$A:$A,'tuot-PVÄ'!B739)</f>
        <v>0</v>
      </c>
      <c r="AD739" s="224">
        <f t="shared" si="201"/>
        <v>0</v>
      </c>
      <c r="AE739" s="224">
        <f t="shared" si="202"/>
        <v>0</v>
      </c>
      <c r="AF739" s="224">
        <f t="shared" si="203"/>
        <v>0</v>
      </c>
      <c r="AG739" s="224">
        <f t="shared" si="204"/>
        <v>0</v>
      </c>
      <c r="AH739" s="257">
        <f t="shared" si="206"/>
        <v>0</v>
      </c>
      <c r="AI739" s="258">
        <f t="shared" si="207"/>
        <v>0</v>
      </c>
      <c r="AJ739" s="55">
        <f>SUMIFS('tuot-INFO'!W:W,'tuot-INFO'!$A:$A,'tuot-PVÄ'!B739)</f>
        <v>0</v>
      </c>
      <c r="AK739" s="55">
        <f>SUMIFS('tuot-INFO'!X:X,'tuot-INFO'!$A:$A,'tuot-PVÄ'!B739)</f>
        <v>0</v>
      </c>
    </row>
    <row r="740" spans="1:37" x14ac:dyDescent="0.25">
      <c r="A740" s="169">
        <f t="shared" si="205"/>
        <v>43226</v>
      </c>
      <c r="B740" s="23">
        <f>ROUNDUP((A740-Yleistiedot!$B$4)/7,0)</f>
        <v>123</v>
      </c>
      <c r="C740" s="16"/>
      <c r="D740" s="25"/>
      <c r="E740" s="25"/>
      <c r="F740" s="25"/>
      <c r="G740" s="25"/>
      <c r="H740" s="25"/>
      <c r="I740" s="65">
        <f t="shared" si="200"/>
        <v>0</v>
      </c>
      <c r="J740" s="26"/>
      <c r="K740" s="25"/>
      <c r="L740" s="16"/>
      <c r="M740" s="16"/>
      <c r="N740" s="25"/>
      <c r="O740" s="30"/>
      <c r="P740" s="252">
        <f t="shared" si="212"/>
        <v>9990</v>
      </c>
      <c r="Q740" s="253">
        <f t="shared" si="213"/>
        <v>0</v>
      </c>
      <c r="R740" s="253">
        <f t="shared" si="214"/>
        <v>0</v>
      </c>
      <c r="S740" s="251">
        <f>SUMIFS('tuot-rehukirjanpito'!D:D,'tuot-rehukirjanpito'!A:A,A740)</f>
        <v>0</v>
      </c>
      <c r="T740" s="254">
        <f t="shared" si="208"/>
        <v>1098.9000000000001</v>
      </c>
      <c r="U740" s="254">
        <f t="shared" si="209"/>
        <v>1098.8999999999999</v>
      </c>
      <c r="V740" s="252">
        <f t="shared" si="210"/>
        <v>-810988.20000001066</v>
      </c>
      <c r="W740" s="255">
        <f t="shared" si="211"/>
        <v>-738.00000000000966</v>
      </c>
      <c r="X740" s="256" t="str">
        <f t="shared" si="215"/>
        <v/>
      </c>
      <c r="Y740" s="256" t="str">
        <f t="shared" si="216"/>
        <v/>
      </c>
      <c r="Z740" s="224" t="str">
        <f>IF(IFERROR(INDEX('tuot-rehukirjanpito'!I:I,MATCH(A740,'tuot-rehukirjanpito'!G:G,0)),)=0,"",INDEX('tuot-rehukirjanpito'!I:I,MATCH(A740,'tuot-rehukirjanpito'!G:G,0)))</f>
        <v/>
      </c>
      <c r="AA740" s="224">
        <f>SUMIFS('tuot-INFO'!$K$10:$K$115,'tuot-INFO'!$A$10:$A$115,'tuot-PVÄ'!B740)</f>
        <v>0</v>
      </c>
      <c r="AB740" s="224">
        <f>SUMIFS('rehu-vesi-INFO'!$R:$R,'rehu-vesi-INFO'!$A:$A,'tuot-PVÄ'!B740)</f>
        <v>0</v>
      </c>
      <c r="AC740" s="224">
        <f>SUMIFS('rehu-vesi-INFO'!$S:$S,'rehu-vesi-INFO'!$A:$A,'tuot-PVÄ'!B740)</f>
        <v>0</v>
      </c>
      <c r="AD740" s="224">
        <f t="shared" si="201"/>
        <v>0</v>
      </c>
      <c r="AE740" s="224">
        <f t="shared" si="202"/>
        <v>0</v>
      </c>
      <c r="AF740" s="224">
        <f t="shared" si="203"/>
        <v>0</v>
      </c>
      <c r="AG740" s="224">
        <f t="shared" si="204"/>
        <v>0</v>
      </c>
      <c r="AH740" s="257">
        <f t="shared" si="206"/>
        <v>0</v>
      </c>
      <c r="AI740" s="258">
        <f t="shared" si="207"/>
        <v>0</v>
      </c>
      <c r="AJ740" s="55">
        <f>SUMIFS('tuot-INFO'!W:W,'tuot-INFO'!$A:$A,'tuot-PVÄ'!B740)</f>
        <v>0</v>
      </c>
      <c r="AK740" s="55">
        <f>SUMIFS('tuot-INFO'!X:X,'tuot-INFO'!$A:$A,'tuot-PVÄ'!B740)</f>
        <v>0</v>
      </c>
    </row>
    <row r="741" spans="1:37" x14ac:dyDescent="0.25">
      <c r="A741" s="169">
        <f t="shared" si="205"/>
        <v>43227</v>
      </c>
      <c r="B741" s="23">
        <f>ROUNDUP((A741-Yleistiedot!$B$4)/7,0)</f>
        <v>123</v>
      </c>
      <c r="C741" s="16"/>
      <c r="D741" s="25"/>
      <c r="E741" s="25"/>
      <c r="F741" s="25"/>
      <c r="G741" s="25"/>
      <c r="H741" s="25"/>
      <c r="I741" s="65">
        <f t="shared" si="200"/>
        <v>0</v>
      </c>
      <c r="J741" s="26"/>
      <c r="K741" s="25"/>
      <c r="L741" s="16"/>
      <c r="M741" s="16"/>
      <c r="N741" s="25"/>
      <c r="O741" s="30"/>
      <c r="P741" s="252">
        <f t="shared" si="212"/>
        <v>9990</v>
      </c>
      <c r="Q741" s="253">
        <f t="shared" si="213"/>
        <v>0</v>
      </c>
      <c r="R741" s="253">
        <f t="shared" si="214"/>
        <v>0</v>
      </c>
      <c r="S741" s="251">
        <f>SUMIFS('tuot-rehukirjanpito'!D:D,'tuot-rehukirjanpito'!A:A,A741)</f>
        <v>0</v>
      </c>
      <c r="T741" s="254">
        <f t="shared" si="208"/>
        <v>1098.9000000000001</v>
      </c>
      <c r="U741" s="254">
        <f t="shared" si="209"/>
        <v>1098.8999999999999</v>
      </c>
      <c r="V741" s="252">
        <f t="shared" si="210"/>
        <v>-812087.10000001069</v>
      </c>
      <c r="W741" s="255">
        <f t="shared" si="211"/>
        <v>-739.00000000000966</v>
      </c>
      <c r="X741" s="256" t="str">
        <f t="shared" si="215"/>
        <v/>
      </c>
      <c r="Y741" s="256" t="str">
        <f t="shared" si="216"/>
        <v/>
      </c>
      <c r="Z741" s="224" t="str">
        <f>IF(IFERROR(INDEX('tuot-rehukirjanpito'!I:I,MATCH(A741,'tuot-rehukirjanpito'!G:G,0)),)=0,"",INDEX('tuot-rehukirjanpito'!I:I,MATCH(A741,'tuot-rehukirjanpito'!G:G,0)))</f>
        <v/>
      </c>
      <c r="AA741" s="224">
        <f>SUMIFS('tuot-INFO'!$K$10:$K$115,'tuot-INFO'!$A$10:$A$115,'tuot-PVÄ'!B741)</f>
        <v>0</v>
      </c>
      <c r="AB741" s="224">
        <f>SUMIFS('rehu-vesi-INFO'!$R:$R,'rehu-vesi-INFO'!$A:$A,'tuot-PVÄ'!B741)</f>
        <v>0</v>
      </c>
      <c r="AC741" s="224">
        <f>SUMIFS('rehu-vesi-INFO'!$S:$S,'rehu-vesi-INFO'!$A:$A,'tuot-PVÄ'!B741)</f>
        <v>0</v>
      </c>
      <c r="AD741" s="224">
        <f t="shared" si="201"/>
        <v>0</v>
      </c>
      <c r="AE741" s="224">
        <f t="shared" si="202"/>
        <v>0</v>
      </c>
      <c r="AF741" s="224">
        <f t="shared" si="203"/>
        <v>0</v>
      </c>
      <c r="AG741" s="224">
        <f t="shared" si="204"/>
        <v>0</v>
      </c>
      <c r="AH741" s="257">
        <f t="shared" si="206"/>
        <v>0</v>
      </c>
      <c r="AI741" s="258">
        <f t="shared" si="207"/>
        <v>0</v>
      </c>
      <c r="AJ741" s="55">
        <f>SUMIFS('tuot-INFO'!W:W,'tuot-INFO'!$A:$A,'tuot-PVÄ'!B741)</f>
        <v>0</v>
      </c>
      <c r="AK741" s="55">
        <f>SUMIFS('tuot-INFO'!X:X,'tuot-INFO'!$A:$A,'tuot-PVÄ'!B741)</f>
        <v>0</v>
      </c>
    </row>
    <row r="742" spans="1:37" x14ac:dyDescent="0.25">
      <c r="A742" s="169">
        <f t="shared" si="205"/>
        <v>43228</v>
      </c>
      <c r="B742" s="23">
        <f>ROUNDUP((A742-Yleistiedot!$B$4)/7,0)</f>
        <v>123</v>
      </c>
      <c r="C742" s="16"/>
      <c r="D742" s="25"/>
      <c r="E742" s="25"/>
      <c r="F742" s="25"/>
      <c r="G742" s="25"/>
      <c r="H742" s="25"/>
      <c r="I742" s="65">
        <f t="shared" si="200"/>
        <v>0</v>
      </c>
      <c r="J742" s="26"/>
      <c r="K742" s="25"/>
      <c r="L742" s="16"/>
      <c r="M742" s="16"/>
      <c r="N742" s="25"/>
      <c r="O742" s="30"/>
      <c r="P742" s="252">
        <f t="shared" si="212"/>
        <v>9990</v>
      </c>
      <c r="Q742" s="253">
        <f t="shared" si="213"/>
        <v>0</v>
      </c>
      <c r="R742" s="253">
        <f t="shared" si="214"/>
        <v>0</v>
      </c>
      <c r="S742" s="251">
        <f>SUMIFS('tuot-rehukirjanpito'!D:D,'tuot-rehukirjanpito'!A:A,A742)</f>
        <v>0</v>
      </c>
      <c r="T742" s="254">
        <f t="shared" si="208"/>
        <v>1098.9000000000001</v>
      </c>
      <c r="U742" s="254">
        <f t="shared" si="209"/>
        <v>1098.8999999999999</v>
      </c>
      <c r="V742" s="252">
        <f t="shared" si="210"/>
        <v>-813186.00000001071</v>
      </c>
      <c r="W742" s="255">
        <f t="shared" si="211"/>
        <v>-740.00000000000966</v>
      </c>
      <c r="X742" s="256" t="str">
        <f t="shared" si="215"/>
        <v/>
      </c>
      <c r="Y742" s="256" t="str">
        <f t="shared" si="216"/>
        <v/>
      </c>
      <c r="Z742" s="224" t="str">
        <f>IF(IFERROR(INDEX('tuot-rehukirjanpito'!I:I,MATCH(A742,'tuot-rehukirjanpito'!G:G,0)),)=0,"",INDEX('tuot-rehukirjanpito'!I:I,MATCH(A742,'tuot-rehukirjanpito'!G:G,0)))</f>
        <v/>
      </c>
      <c r="AA742" s="224">
        <f>SUMIFS('tuot-INFO'!$K$10:$K$115,'tuot-INFO'!$A$10:$A$115,'tuot-PVÄ'!B742)</f>
        <v>0</v>
      </c>
      <c r="AB742" s="224">
        <f>SUMIFS('rehu-vesi-INFO'!$R:$R,'rehu-vesi-INFO'!$A:$A,'tuot-PVÄ'!B742)</f>
        <v>0</v>
      </c>
      <c r="AC742" s="224">
        <f>SUMIFS('rehu-vesi-INFO'!$S:$S,'rehu-vesi-INFO'!$A:$A,'tuot-PVÄ'!B742)</f>
        <v>0</v>
      </c>
      <c r="AD742" s="224">
        <f t="shared" si="201"/>
        <v>0</v>
      </c>
      <c r="AE742" s="224">
        <f t="shared" si="202"/>
        <v>0</v>
      </c>
      <c r="AF742" s="224">
        <f t="shared" si="203"/>
        <v>0</v>
      </c>
      <c r="AG742" s="224">
        <f t="shared" si="204"/>
        <v>0</v>
      </c>
      <c r="AH742" s="257">
        <f t="shared" si="206"/>
        <v>0</v>
      </c>
      <c r="AI742" s="258">
        <f t="shared" si="207"/>
        <v>0</v>
      </c>
      <c r="AJ742" s="55">
        <f>SUMIFS('tuot-INFO'!W:W,'tuot-INFO'!$A:$A,'tuot-PVÄ'!B742)</f>
        <v>0</v>
      </c>
      <c r="AK742" s="55">
        <f>SUMIFS('tuot-INFO'!X:X,'tuot-INFO'!$A:$A,'tuot-PVÄ'!B742)</f>
        <v>0</v>
      </c>
    </row>
    <row r="743" spans="1:37" x14ac:dyDescent="0.25">
      <c r="A743" s="169">
        <f t="shared" si="205"/>
        <v>43229</v>
      </c>
      <c r="B743" s="23">
        <f>ROUNDUP((A743-Yleistiedot!$B$4)/7,0)</f>
        <v>123</v>
      </c>
      <c r="C743" s="16"/>
      <c r="D743" s="25"/>
      <c r="E743" s="25"/>
      <c r="F743" s="25"/>
      <c r="G743" s="25"/>
      <c r="H743" s="25"/>
      <c r="I743" s="65">
        <f t="shared" si="200"/>
        <v>0</v>
      </c>
      <c r="J743" s="26"/>
      <c r="K743" s="25"/>
      <c r="L743" s="16"/>
      <c r="M743" s="16"/>
      <c r="N743" s="25"/>
      <c r="O743" s="30"/>
      <c r="P743" s="252">
        <f t="shared" si="212"/>
        <v>9990</v>
      </c>
      <c r="Q743" s="253">
        <f t="shared" si="213"/>
        <v>0</v>
      </c>
      <c r="R743" s="253">
        <f t="shared" si="214"/>
        <v>0</v>
      </c>
      <c r="S743" s="251">
        <f>SUMIFS('tuot-rehukirjanpito'!D:D,'tuot-rehukirjanpito'!A:A,A743)</f>
        <v>0</v>
      </c>
      <c r="T743" s="254">
        <f t="shared" si="208"/>
        <v>1098.9000000000001</v>
      </c>
      <c r="U743" s="254">
        <f t="shared" si="209"/>
        <v>1098.8999999999999</v>
      </c>
      <c r="V743" s="252">
        <f t="shared" si="210"/>
        <v>-814284.90000001073</v>
      </c>
      <c r="W743" s="255">
        <f t="shared" si="211"/>
        <v>-741.00000000000966</v>
      </c>
      <c r="X743" s="256" t="str">
        <f t="shared" si="215"/>
        <v/>
      </c>
      <c r="Y743" s="256" t="str">
        <f t="shared" si="216"/>
        <v/>
      </c>
      <c r="Z743" s="224" t="str">
        <f>IF(IFERROR(INDEX('tuot-rehukirjanpito'!I:I,MATCH(A743,'tuot-rehukirjanpito'!G:G,0)),)=0,"",INDEX('tuot-rehukirjanpito'!I:I,MATCH(A743,'tuot-rehukirjanpito'!G:G,0)))</f>
        <v/>
      </c>
      <c r="AA743" s="224">
        <f>SUMIFS('tuot-INFO'!$K$10:$K$115,'tuot-INFO'!$A$10:$A$115,'tuot-PVÄ'!B743)</f>
        <v>0</v>
      </c>
      <c r="AB743" s="224">
        <f>SUMIFS('rehu-vesi-INFO'!$R:$R,'rehu-vesi-INFO'!$A:$A,'tuot-PVÄ'!B743)</f>
        <v>0</v>
      </c>
      <c r="AC743" s="224">
        <f>SUMIFS('rehu-vesi-INFO'!$S:$S,'rehu-vesi-INFO'!$A:$A,'tuot-PVÄ'!B743)</f>
        <v>0</v>
      </c>
      <c r="AD743" s="224">
        <f t="shared" si="201"/>
        <v>0</v>
      </c>
      <c r="AE743" s="224">
        <f t="shared" si="202"/>
        <v>0</v>
      </c>
      <c r="AF743" s="224">
        <f t="shared" si="203"/>
        <v>0</v>
      </c>
      <c r="AG743" s="224">
        <f t="shared" si="204"/>
        <v>0</v>
      </c>
      <c r="AH743" s="257">
        <f t="shared" si="206"/>
        <v>0</v>
      </c>
      <c r="AI743" s="258">
        <f t="shared" si="207"/>
        <v>0</v>
      </c>
      <c r="AJ743" s="55">
        <f>SUMIFS('tuot-INFO'!W:W,'tuot-INFO'!$A:$A,'tuot-PVÄ'!B743)</f>
        <v>0</v>
      </c>
      <c r="AK743" s="55">
        <f>SUMIFS('tuot-INFO'!X:X,'tuot-INFO'!$A:$A,'tuot-PVÄ'!B743)</f>
        <v>0</v>
      </c>
    </row>
    <row r="744" spans="1:37" x14ac:dyDescent="0.25">
      <c r="A744" s="195">
        <f t="shared" si="205"/>
        <v>43230</v>
      </c>
      <c r="B744" s="24">
        <f>ROUNDUP((A744-Yleistiedot!$B$4)/7,0)</f>
        <v>123</v>
      </c>
      <c r="C744" s="196"/>
      <c r="D744" s="197"/>
      <c r="E744" s="197"/>
      <c r="F744" s="197"/>
      <c r="G744" s="197"/>
      <c r="H744" s="197"/>
      <c r="I744" s="198">
        <f t="shared" si="200"/>
        <v>0</v>
      </c>
      <c r="J744" s="199"/>
      <c r="K744" s="197"/>
      <c r="L744" s="196"/>
      <c r="M744" s="196"/>
      <c r="N744" s="197"/>
      <c r="O744" s="32"/>
      <c r="P744" s="252">
        <f t="shared" si="212"/>
        <v>9990</v>
      </c>
      <c r="Q744" s="253">
        <f t="shared" si="213"/>
        <v>0</v>
      </c>
      <c r="R744" s="253">
        <f t="shared" si="214"/>
        <v>0</v>
      </c>
      <c r="S744" s="251">
        <f>SUMIFS('tuot-rehukirjanpito'!D:D,'tuot-rehukirjanpito'!A:A,A744)</f>
        <v>0</v>
      </c>
      <c r="T744" s="254">
        <f t="shared" si="208"/>
        <v>1098.9000000000001</v>
      </c>
      <c r="U744" s="254">
        <f t="shared" si="209"/>
        <v>1098.8999999999999</v>
      </c>
      <c r="V744" s="252">
        <f t="shared" si="210"/>
        <v>-815383.80000001076</v>
      </c>
      <c r="W744" s="255">
        <f t="shared" si="211"/>
        <v>-742.00000000000978</v>
      </c>
      <c r="X744" s="256" t="str">
        <f t="shared" si="215"/>
        <v/>
      </c>
      <c r="Y744" s="256" t="str">
        <f t="shared" si="216"/>
        <v/>
      </c>
      <c r="Z744" s="224" t="str">
        <f>IF(IFERROR(INDEX('tuot-rehukirjanpito'!I:I,MATCH(A744,'tuot-rehukirjanpito'!G:G,0)),)=0,"",INDEX('tuot-rehukirjanpito'!I:I,MATCH(A744,'tuot-rehukirjanpito'!G:G,0)))</f>
        <v/>
      </c>
      <c r="AA744" s="224">
        <f>SUMIFS('tuot-INFO'!$K$10:$K$115,'tuot-INFO'!$A$10:$A$115,'tuot-PVÄ'!B744)</f>
        <v>0</v>
      </c>
      <c r="AB744" s="224">
        <f>SUMIFS('rehu-vesi-INFO'!$R:$R,'rehu-vesi-INFO'!$A:$A,'tuot-PVÄ'!B744)</f>
        <v>0</v>
      </c>
      <c r="AC744" s="224">
        <f>SUMIFS('rehu-vesi-INFO'!$S:$S,'rehu-vesi-INFO'!$A:$A,'tuot-PVÄ'!B744)</f>
        <v>0</v>
      </c>
      <c r="AD744" s="224">
        <f>AC744-AB744</f>
        <v>0</v>
      </c>
      <c r="AE744" s="224">
        <f t="shared" si="202"/>
        <v>0</v>
      </c>
      <c r="AF744" s="224">
        <f t="shared" si="203"/>
        <v>0</v>
      </c>
      <c r="AG744" s="224">
        <f t="shared" si="204"/>
        <v>0</v>
      </c>
      <c r="AH744" s="257">
        <f t="shared" si="206"/>
        <v>0</v>
      </c>
      <c r="AI744" s="258">
        <f t="shared" si="207"/>
        <v>0</v>
      </c>
      <c r="AJ744" s="55">
        <f>SUMIFS('tuot-INFO'!W:W,'tuot-INFO'!$A:$A,'tuot-PVÄ'!B744)</f>
        <v>0</v>
      </c>
      <c r="AK744" s="55">
        <f>SUMIFS('tuot-INFO'!X:X,'tuot-INFO'!$A:$A,'tuot-PVÄ'!B744)</f>
        <v>0</v>
      </c>
    </row>
    <row r="745" spans="1:37" x14ac:dyDescent="0.25">
      <c r="K745" s="47"/>
      <c r="L745" s="5"/>
      <c r="M745" s="1"/>
      <c r="N745" s="1"/>
      <c r="O745" s="37"/>
      <c r="P745" s="193"/>
      <c r="Q745" s="193"/>
      <c r="R745" s="193"/>
    </row>
    <row r="746" spans="1:37" x14ac:dyDescent="0.25">
      <c r="K746" s="47"/>
      <c r="L746" s="5"/>
      <c r="M746" s="1"/>
      <c r="N746" s="1"/>
      <c r="O746" s="37"/>
      <c r="P746" s="193"/>
      <c r="Q746" s="193"/>
      <c r="R746" s="193"/>
    </row>
    <row r="747" spans="1:37" x14ac:dyDescent="0.25">
      <c r="K747" s="47"/>
      <c r="L747" s="5"/>
      <c r="M747" s="1"/>
      <c r="N747" s="1"/>
      <c r="O747" s="37"/>
      <c r="P747" s="193"/>
      <c r="Q747" s="193"/>
      <c r="R747" s="193"/>
    </row>
    <row r="748" spans="1:37" x14ac:dyDescent="0.25">
      <c r="K748" s="47"/>
      <c r="L748" s="5"/>
      <c r="M748" s="1"/>
      <c r="N748" s="1"/>
      <c r="O748" s="37"/>
      <c r="P748" s="193"/>
      <c r="Q748" s="193"/>
      <c r="R748" s="193"/>
    </row>
    <row r="749" spans="1:37" x14ac:dyDescent="0.25">
      <c r="K749" s="47"/>
      <c r="L749" s="5"/>
      <c r="M749" s="1"/>
      <c r="N749" s="1"/>
      <c r="O749" s="37"/>
      <c r="P749" s="193"/>
      <c r="Q749" s="193"/>
      <c r="R749" s="193"/>
    </row>
    <row r="750" spans="1:37" x14ac:dyDescent="0.25">
      <c r="K750" s="47"/>
      <c r="L750" s="5"/>
      <c r="M750" s="1"/>
      <c r="N750" s="1"/>
      <c r="O750" s="37"/>
      <c r="P750" s="193"/>
      <c r="Q750" s="193"/>
      <c r="R750" s="193"/>
    </row>
    <row r="751" spans="1:37" x14ac:dyDescent="0.25">
      <c r="K751" s="47"/>
      <c r="L751" s="5"/>
      <c r="M751" s="1"/>
      <c r="N751" s="1"/>
      <c r="O751" s="37"/>
      <c r="P751" s="193"/>
      <c r="Q751" s="193"/>
      <c r="R751" s="193"/>
    </row>
    <row r="752" spans="1:37" x14ac:dyDescent="0.25">
      <c r="K752" s="47"/>
      <c r="L752" s="5"/>
      <c r="M752" s="1"/>
      <c r="N752" s="1"/>
      <c r="O752" s="37"/>
      <c r="P752" s="193"/>
      <c r="Q752" s="193"/>
      <c r="R752" s="193"/>
    </row>
    <row r="753" spans="11:18" x14ac:dyDescent="0.25">
      <c r="K753" s="47"/>
      <c r="L753" s="5"/>
      <c r="M753" s="1"/>
      <c r="N753" s="1"/>
      <c r="O753" s="37"/>
      <c r="P753" s="193"/>
      <c r="Q753" s="193"/>
      <c r="R753" s="193"/>
    </row>
    <row r="754" spans="11:18" x14ac:dyDescent="0.25">
      <c r="K754" s="47"/>
      <c r="L754" s="5"/>
      <c r="M754" s="1"/>
      <c r="N754" s="1"/>
      <c r="O754" s="37"/>
      <c r="P754" s="193"/>
      <c r="Q754" s="193"/>
      <c r="R754" s="193"/>
    </row>
    <row r="755" spans="11:18" x14ac:dyDescent="0.25">
      <c r="K755" s="47"/>
      <c r="L755" s="5"/>
      <c r="M755" s="1"/>
      <c r="N755" s="1"/>
      <c r="O755" s="37"/>
      <c r="P755" s="193"/>
      <c r="Q755" s="193"/>
      <c r="R755" s="193"/>
    </row>
    <row r="756" spans="11:18" x14ac:dyDescent="0.25">
      <c r="K756" s="47"/>
      <c r="L756" s="5"/>
      <c r="M756" s="1"/>
      <c r="N756" s="1"/>
      <c r="O756" s="37"/>
      <c r="P756" s="193"/>
      <c r="Q756" s="193"/>
      <c r="R756" s="193"/>
    </row>
    <row r="757" spans="11:18" x14ac:dyDescent="0.25">
      <c r="K757" s="47"/>
      <c r="L757" s="5"/>
      <c r="M757" s="1"/>
      <c r="N757" s="1"/>
      <c r="O757" s="37"/>
      <c r="P757" s="193"/>
      <c r="Q757" s="193"/>
      <c r="R757" s="193"/>
    </row>
    <row r="758" spans="11:18" x14ac:dyDescent="0.25">
      <c r="K758" s="47"/>
      <c r="L758" s="5"/>
      <c r="M758" s="1"/>
      <c r="N758" s="1"/>
      <c r="O758" s="37"/>
      <c r="P758" s="193"/>
      <c r="Q758" s="193"/>
      <c r="R758" s="193"/>
    </row>
    <row r="759" spans="11:18" x14ac:dyDescent="0.25">
      <c r="K759" s="47"/>
      <c r="L759" s="5"/>
      <c r="M759" s="1"/>
      <c r="N759" s="1"/>
      <c r="O759" s="37"/>
      <c r="P759" s="193"/>
      <c r="Q759" s="193"/>
      <c r="R759" s="193"/>
    </row>
    <row r="760" spans="11:18" x14ac:dyDescent="0.25">
      <c r="K760" s="47"/>
      <c r="L760" s="5"/>
      <c r="M760" s="1"/>
      <c r="N760" s="1"/>
      <c r="O760" s="37"/>
      <c r="P760" s="193"/>
      <c r="Q760" s="193"/>
      <c r="R760" s="193"/>
    </row>
    <row r="761" spans="11:18" x14ac:dyDescent="0.25">
      <c r="K761" s="47"/>
      <c r="L761" s="5"/>
      <c r="M761" s="1"/>
      <c r="N761" s="1"/>
      <c r="O761" s="37"/>
      <c r="P761" s="193"/>
      <c r="Q761" s="193"/>
      <c r="R761" s="193"/>
    </row>
    <row r="762" spans="11:18" x14ac:dyDescent="0.25">
      <c r="K762" s="47"/>
      <c r="L762" s="5"/>
      <c r="M762" s="1"/>
      <c r="N762" s="1"/>
      <c r="O762" s="37"/>
      <c r="P762" s="193"/>
      <c r="Q762" s="193"/>
      <c r="R762" s="193"/>
    </row>
    <row r="763" spans="11:18" x14ac:dyDescent="0.25">
      <c r="K763" s="47"/>
      <c r="L763" s="5"/>
      <c r="M763" s="1"/>
      <c r="N763" s="1"/>
      <c r="O763" s="37"/>
      <c r="P763" s="193"/>
      <c r="Q763" s="193"/>
      <c r="R763" s="193"/>
    </row>
    <row r="764" spans="11:18" x14ac:dyDescent="0.25">
      <c r="K764" s="47"/>
      <c r="L764" s="5"/>
      <c r="M764" s="1"/>
      <c r="N764" s="1"/>
      <c r="O764" s="37"/>
      <c r="P764" s="193"/>
      <c r="Q764" s="193"/>
      <c r="R764" s="193"/>
    </row>
    <row r="765" spans="11:18" x14ac:dyDescent="0.25">
      <c r="K765" s="47"/>
      <c r="L765" s="5"/>
      <c r="M765" s="1"/>
      <c r="N765" s="1"/>
      <c r="O765" s="37"/>
      <c r="P765" s="193"/>
      <c r="Q765" s="193"/>
      <c r="R765" s="193"/>
    </row>
    <row r="766" spans="11:18" x14ac:dyDescent="0.25">
      <c r="K766" s="47"/>
      <c r="L766" s="5"/>
      <c r="M766" s="1"/>
      <c r="N766" s="1"/>
      <c r="O766" s="37"/>
      <c r="P766" s="193"/>
      <c r="Q766" s="193"/>
      <c r="R766" s="193"/>
    </row>
    <row r="767" spans="11:18" x14ac:dyDescent="0.25">
      <c r="K767" s="47"/>
      <c r="L767" s="5"/>
      <c r="M767" s="1"/>
      <c r="N767" s="1"/>
      <c r="O767" s="37"/>
      <c r="P767" s="193"/>
      <c r="Q767" s="193"/>
      <c r="R767" s="193"/>
    </row>
    <row r="768" spans="11:18" x14ac:dyDescent="0.25">
      <c r="K768" s="47"/>
      <c r="L768" s="5"/>
      <c r="M768" s="1"/>
      <c r="N768" s="1"/>
      <c r="O768" s="37"/>
      <c r="P768" s="193"/>
      <c r="Q768" s="193"/>
      <c r="R768" s="193"/>
    </row>
    <row r="769" spans="11:18" x14ac:dyDescent="0.25">
      <c r="K769" s="47"/>
      <c r="L769" s="5"/>
      <c r="M769" s="1"/>
      <c r="N769" s="1"/>
      <c r="O769" s="37"/>
      <c r="P769" s="193"/>
      <c r="Q769" s="193"/>
      <c r="R769" s="193"/>
    </row>
    <row r="770" spans="11:18" x14ac:dyDescent="0.25">
      <c r="K770" s="47"/>
      <c r="L770" s="5"/>
      <c r="M770" s="1"/>
      <c r="N770" s="1"/>
      <c r="O770" s="37"/>
      <c r="P770" s="193"/>
      <c r="Q770" s="193"/>
      <c r="R770" s="193"/>
    </row>
    <row r="771" spans="11:18" x14ac:dyDescent="0.25">
      <c r="K771" s="47"/>
      <c r="L771" s="5"/>
      <c r="M771" s="1"/>
      <c r="N771" s="1"/>
      <c r="O771" s="37"/>
      <c r="P771" s="193"/>
      <c r="Q771" s="193"/>
      <c r="R771" s="193"/>
    </row>
    <row r="772" spans="11:18" x14ac:dyDescent="0.25">
      <c r="K772" s="47"/>
      <c r="L772" s="5"/>
      <c r="M772" s="1"/>
      <c r="N772" s="1"/>
      <c r="O772" s="37"/>
      <c r="P772" s="193"/>
      <c r="Q772" s="193"/>
      <c r="R772" s="193"/>
    </row>
    <row r="773" spans="11:18" x14ac:dyDescent="0.25">
      <c r="K773" s="47"/>
      <c r="L773" s="5"/>
      <c r="M773" s="1"/>
      <c r="N773" s="1"/>
      <c r="O773" s="37"/>
      <c r="P773" s="193"/>
      <c r="Q773" s="193"/>
      <c r="R773" s="193"/>
    </row>
    <row r="774" spans="11:18" x14ac:dyDescent="0.25">
      <c r="K774" s="47"/>
      <c r="L774" s="5"/>
      <c r="M774" s="1"/>
      <c r="N774" s="1"/>
      <c r="O774" s="37"/>
      <c r="P774" s="193"/>
      <c r="Q774" s="193"/>
      <c r="R774" s="193"/>
    </row>
    <row r="775" spans="11:18" x14ac:dyDescent="0.25">
      <c r="K775" s="47"/>
      <c r="L775" s="5"/>
      <c r="M775" s="1"/>
      <c r="N775" s="1"/>
      <c r="O775" s="37"/>
      <c r="P775" s="193"/>
      <c r="Q775" s="193"/>
      <c r="R775" s="193"/>
    </row>
    <row r="776" spans="11:18" x14ac:dyDescent="0.25">
      <c r="K776" s="47"/>
      <c r="L776" s="5"/>
      <c r="M776" s="1"/>
      <c r="N776" s="1"/>
      <c r="O776" s="37"/>
      <c r="P776" s="193"/>
      <c r="Q776" s="193"/>
      <c r="R776" s="193"/>
    </row>
    <row r="777" spans="11:18" x14ac:dyDescent="0.25">
      <c r="K777" s="47"/>
      <c r="L777" s="5"/>
      <c r="M777" s="1"/>
      <c r="N777" s="1"/>
      <c r="O777" s="37"/>
      <c r="P777" s="193"/>
      <c r="Q777" s="193"/>
      <c r="R777" s="193"/>
    </row>
    <row r="778" spans="11:18" x14ac:dyDescent="0.25">
      <c r="K778" s="47"/>
      <c r="L778" s="5"/>
      <c r="M778" s="1"/>
      <c r="N778" s="1"/>
      <c r="O778" s="37"/>
      <c r="P778" s="193"/>
      <c r="Q778" s="193"/>
      <c r="R778" s="193"/>
    </row>
    <row r="779" spans="11:18" x14ac:dyDescent="0.25">
      <c r="K779" s="47"/>
      <c r="L779" s="5"/>
      <c r="M779" s="1"/>
      <c r="N779" s="1"/>
      <c r="O779" s="37"/>
      <c r="P779" s="193"/>
      <c r="Q779" s="193"/>
      <c r="R779" s="193"/>
    </row>
    <row r="780" spans="11:18" x14ac:dyDescent="0.25">
      <c r="K780" s="47"/>
      <c r="L780" s="5"/>
      <c r="M780" s="1"/>
      <c r="N780" s="1"/>
      <c r="O780" s="37"/>
      <c r="P780" s="193"/>
      <c r="Q780" s="193"/>
      <c r="R780" s="193"/>
    </row>
    <row r="781" spans="11:18" x14ac:dyDescent="0.25">
      <c r="K781" s="47"/>
      <c r="L781" s="5"/>
      <c r="M781" s="1"/>
      <c r="N781" s="1"/>
      <c r="O781" s="37"/>
      <c r="P781" s="193"/>
      <c r="Q781" s="193"/>
      <c r="R781" s="193"/>
    </row>
    <row r="782" spans="11:18" x14ac:dyDescent="0.25">
      <c r="K782" s="47"/>
      <c r="L782" s="5"/>
      <c r="M782" s="1"/>
      <c r="N782" s="1"/>
      <c r="O782" s="37"/>
      <c r="P782" s="193"/>
      <c r="Q782" s="193"/>
      <c r="R782" s="193"/>
    </row>
    <row r="783" spans="11:18" x14ac:dyDescent="0.25">
      <c r="K783" s="47"/>
      <c r="L783" s="5"/>
      <c r="M783" s="1"/>
      <c r="N783" s="1"/>
      <c r="O783" s="37"/>
      <c r="P783" s="193"/>
      <c r="Q783" s="193"/>
      <c r="R783" s="193"/>
    </row>
    <row r="784" spans="11:18" x14ac:dyDescent="0.25">
      <c r="K784" s="47"/>
      <c r="L784" s="5"/>
      <c r="M784" s="1"/>
      <c r="N784" s="1"/>
      <c r="O784" s="37"/>
      <c r="P784" s="193"/>
      <c r="Q784" s="193"/>
      <c r="R784" s="193"/>
    </row>
    <row r="785" spans="11:18" x14ac:dyDescent="0.25">
      <c r="K785" s="47"/>
      <c r="L785" s="5"/>
      <c r="M785" s="1"/>
      <c r="N785" s="1"/>
      <c r="O785" s="37"/>
      <c r="P785" s="193"/>
      <c r="Q785" s="193"/>
      <c r="R785" s="193"/>
    </row>
    <row r="786" spans="11:18" x14ac:dyDescent="0.25">
      <c r="K786" s="47"/>
      <c r="L786" s="5"/>
      <c r="M786" s="1"/>
      <c r="N786" s="1"/>
      <c r="O786" s="37"/>
      <c r="P786" s="193"/>
      <c r="Q786" s="193"/>
      <c r="R786" s="193"/>
    </row>
    <row r="787" spans="11:18" x14ac:dyDescent="0.25">
      <c r="K787" s="47"/>
      <c r="L787" s="5"/>
      <c r="M787" s="1"/>
      <c r="N787" s="1"/>
      <c r="O787" s="37"/>
      <c r="P787" s="193"/>
      <c r="Q787" s="193"/>
      <c r="R787" s="193"/>
    </row>
    <row r="788" spans="11:18" x14ac:dyDescent="0.25">
      <c r="K788" s="47"/>
      <c r="L788" s="5"/>
      <c r="M788" s="1"/>
      <c r="N788" s="1"/>
      <c r="O788" s="37"/>
      <c r="P788" s="193"/>
      <c r="Q788" s="193"/>
      <c r="R788" s="193"/>
    </row>
    <row r="789" spans="11:18" x14ac:dyDescent="0.25">
      <c r="K789" s="47"/>
      <c r="L789" s="5"/>
      <c r="M789" s="1"/>
      <c r="N789" s="1"/>
      <c r="O789" s="37"/>
      <c r="P789" s="193"/>
      <c r="Q789" s="193"/>
      <c r="R789" s="193"/>
    </row>
    <row r="790" spans="11:18" x14ac:dyDescent="0.25">
      <c r="K790" s="47"/>
      <c r="L790" s="5"/>
      <c r="M790" s="1"/>
      <c r="N790" s="1"/>
      <c r="O790" s="37"/>
      <c r="P790" s="193"/>
      <c r="Q790" s="193"/>
      <c r="R790" s="193"/>
    </row>
    <row r="791" spans="11:18" x14ac:dyDescent="0.25">
      <c r="K791" s="47"/>
      <c r="L791" s="5"/>
      <c r="M791" s="1"/>
      <c r="N791" s="1"/>
      <c r="O791" s="37"/>
      <c r="P791" s="193"/>
      <c r="Q791" s="193"/>
      <c r="R791" s="193"/>
    </row>
    <row r="792" spans="11:18" x14ac:dyDescent="0.25">
      <c r="K792" s="47"/>
      <c r="L792" s="5"/>
      <c r="M792" s="1"/>
      <c r="N792" s="1"/>
      <c r="O792" s="37"/>
      <c r="P792" s="193"/>
      <c r="Q792" s="193"/>
      <c r="R792" s="193"/>
    </row>
    <row r="793" spans="11:18" x14ac:dyDescent="0.25">
      <c r="K793" s="47"/>
      <c r="L793" s="5"/>
      <c r="M793" s="1"/>
      <c r="N793" s="1"/>
      <c r="O793" s="37"/>
      <c r="P793" s="193"/>
      <c r="Q793" s="193"/>
      <c r="R793" s="193"/>
    </row>
    <row r="794" spans="11:18" x14ac:dyDescent="0.25">
      <c r="K794" s="47"/>
      <c r="L794" s="5"/>
      <c r="M794" s="1"/>
      <c r="N794" s="1"/>
      <c r="O794" s="37"/>
      <c r="P794" s="193"/>
      <c r="Q794" s="193"/>
      <c r="R794" s="193"/>
    </row>
    <row r="795" spans="11:18" x14ac:dyDescent="0.25">
      <c r="K795" s="47"/>
      <c r="L795" s="5"/>
      <c r="M795" s="1"/>
      <c r="N795" s="1"/>
      <c r="O795" s="37"/>
      <c r="P795" s="193"/>
      <c r="Q795" s="193"/>
      <c r="R795" s="193"/>
    </row>
    <row r="796" spans="11:18" x14ac:dyDescent="0.25">
      <c r="K796" s="47"/>
      <c r="L796" s="5"/>
      <c r="M796" s="1"/>
      <c r="N796" s="1"/>
      <c r="O796" s="37"/>
      <c r="P796" s="193"/>
      <c r="Q796" s="193"/>
      <c r="R796" s="193"/>
    </row>
    <row r="797" spans="11:18" x14ac:dyDescent="0.25">
      <c r="K797" s="47"/>
      <c r="L797" s="5"/>
      <c r="M797" s="1"/>
      <c r="N797" s="1"/>
      <c r="O797" s="37"/>
      <c r="P797" s="193"/>
      <c r="Q797" s="193"/>
      <c r="R797" s="193"/>
    </row>
    <row r="798" spans="11:18" x14ac:dyDescent="0.25">
      <c r="K798" s="47"/>
      <c r="L798" s="5"/>
      <c r="M798" s="1"/>
      <c r="N798" s="1"/>
      <c r="O798" s="37"/>
      <c r="P798" s="193"/>
      <c r="Q798" s="193"/>
      <c r="R798" s="193"/>
    </row>
    <row r="799" spans="11:18" x14ac:dyDescent="0.25">
      <c r="K799" s="47"/>
      <c r="L799" s="5"/>
      <c r="M799" s="1"/>
      <c r="N799" s="1"/>
      <c r="O799" s="37"/>
      <c r="P799" s="193"/>
      <c r="Q799" s="193"/>
      <c r="R799" s="193"/>
    </row>
    <row r="800" spans="11:18" x14ac:dyDescent="0.25">
      <c r="K800" s="47"/>
      <c r="L800" s="5"/>
      <c r="M800" s="1"/>
      <c r="N800" s="1"/>
      <c r="O800" s="37"/>
      <c r="P800" s="193"/>
      <c r="Q800" s="193"/>
      <c r="R800" s="193"/>
    </row>
    <row r="801" spans="11:18" x14ac:dyDescent="0.25">
      <c r="K801" s="47"/>
      <c r="L801" s="5"/>
      <c r="M801" s="1"/>
      <c r="N801" s="1"/>
      <c r="O801" s="37"/>
      <c r="P801" s="193"/>
      <c r="Q801" s="193"/>
      <c r="R801" s="193"/>
    </row>
    <row r="802" spans="11:18" x14ac:dyDescent="0.25">
      <c r="K802" s="47"/>
      <c r="L802" s="5"/>
      <c r="M802" s="1"/>
      <c r="N802" s="1"/>
      <c r="O802" s="37"/>
      <c r="P802" s="193"/>
      <c r="Q802" s="193"/>
      <c r="R802" s="193"/>
    </row>
    <row r="803" spans="11:18" x14ac:dyDescent="0.25">
      <c r="K803" s="47"/>
      <c r="L803" s="5"/>
      <c r="M803" s="1"/>
      <c r="N803" s="1"/>
      <c r="O803" s="37"/>
      <c r="P803" s="193"/>
      <c r="Q803" s="193"/>
      <c r="R803" s="193"/>
    </row>
    <row r="804" spans="11:18" x14ac:dyDescent="0.25">
      <c r="K804" s="47"/>
      <c r="L804" s="5"/>
      <c r="M804" s="1"/>
      <c r="N804" s="1"/>
      <c r="O804" s="37"/>
      <c r="P804" s="193"/>
      <c r="Q804" s="193"/>
      <c r="R804" s="193"/>
    </row>
    <row r="805" spans="11:18" x14ac:dyDescent="0.25">
      <c r="K805" s="47"/>
      <c r="L805" s="5"/>
      <c r="M805" s="1"/>
      <c r="N805" s="1"/>
      <c r="O805" s="37"/>
      <c r="P805" s="193"/>
      <c r="Q805" s="193"/>
      <c r="R805" s="193"/>
    </row>
    <row r="806" spans="11:18" x14ac:dyDescent="0.25">
      <c r="K806" s="47"/>
      <c r="L806" s="5"/>
      <c r="M806" s="1"/>
      <c r="N806" s="1"/>
      <c r="O806" s="37"/>
      <c r="P806" s="193"/>
      <c r="Q806" s="193"/>
      <c r="R806" s="193"/>
    </row>
    <row r="807" spans="11:18" x14ac:dyDescent="0.25">
      <c r="K807" s="47"/>
      <c r="L807" s="5"/>
      <c r="M807" s="1"/>
      <c r="N807" s="1"/>
      <c r="O807" s="37"/>
      <c r="P807" s="193"/>
      <c r="Q807" s="193"/>
      <c r="R807" s="193"/>
    </row>
    <row r="808" spans="11:18" x14ac:dyDescent="0.25">
      <c r="K808" s="47"/>
      <c r="L808" s="5"/>
      <c r="M808" s="1"/>
      <c r="N808" s="1"/>
      <c r="O808" s="37"/>
      <c r="P808" s="193"/>
      <c r="Q808" s="193"/>
      <c r="R808" s="193"/>
    </row>
    <row r="809" spans="11:18" x14ac:dyDescent="0.25">
      <c r="K809" s="47"/>
      <c r="L809" s="5"/>
      <c r="M809" s="1"/>
      <c r="N809" s="1"/>
      <c r="O809" s="37"/>
      <c r="P809" s="193"/>
      <c r="Q809" s="193"/>
      <c r="R809" s="193"/>
    </row>
    <row r="810" spans="11:18" x14ac:dyDescent="0.25">
      <c r="K810" s="47"/>
      <c r="L810" s="5"/>
      <c r="M810" s="1"/>
      <c r="N810" s="1"/>
      <c r="O810" s="37"/>
      <c r="P810" s="193"/>
      <c r="Q810" s="193"/>
      <c r="R810" s="193"/>
    </row>
    <row r="811" spans="11:18" x14ac:dyDescent="0.25">
      <c r="K811" s="47"/>
      <c r="L811" s="5"/>
      <c r="M811" s="1"/>
      <c r="N811" s="1"/>
      <c r="O811" s="37"/>
      <c r="P811" s="193"/>
      <c r="Q811" s="193"/>
      <c r="R811" s="193"/>
    </row>
    <row r="812" spans="11:18" x14ac:dyDescent="0.25">
      <c r="K812" s="47"/>
      <c r="L812" s="5"/>
      <c r="M812" s="1"/>
      <c r="N812" s="1"/>
      <c r="O812" s="37"/>
      <c r="P812" s="193"/>
      <c r="Q812" s="193"/>
      <c r="R812" s="193"/>
    </row>
    <row r="813" spans="11:18" x14ac:dyDescent="0.25">
      <c r="K813" s="47"/>
      <c r="L813" s="5"/>
      <c r="M813" s="1"/>
      <c r="N813" s="1"/>
      <c r="O813" s="37"/>
      <c r="P813" s="193"/>
      <c r="Q813" s="193"/>
      <c r="R813" s="193"/>
    </row>
    <row r="814" spans="11:18" x14ac:dyDescent="0.25">
      <c r="K814" s="47"/>
      <c r="L814" s="5"/>
      <c r="M814" s="1"/>
      <c r="N814" s="1"/>
      <c r="O814" s="37"/>
      <c r="P814" s="193"/>
      <c r="Q814" s="193"/>
      <c r="R814" s="193"/>
    </row>
    <row r="815" spans="11:18" x14ac:dyDescent="0.25">
      <c r="K815" s="47"/>
      <c r="L815" s="5"/>
      <c r="M815" s="1"/>
      <c r="N815" s="1"/>
      <c r="O815" s="37"/>
      <c r="P815" s="193"/>
      <c r="Q815" s="193"/>
      <c r="R815" s="193"/>
    </row>
    <row r="816" spans="11:18" x14ac:dyDescent="0.25">
      <c r="K816" s="47"/>
      <c r="L816" s="5"/>
      <c r="M816" s="1"/>
      <c r="N816" s="1"/>
      <c r="O816" s="37"/>
      <c r="P816" s="193"/>
      <c r="Q816" s="193"/>
      <c r="R816" s="193"/>
    </row>
    <row r="817" spans="11:18" x14ac:dyDescent="0.25">
      <c r="K817" s="47"/>
      <c r="L817" s="5"/>
      <c r="M817" s="1"/>
      <c r="N817" s="1"/>
      <c r="O817" s="37"/>
      <c r="P817" s="193"/>
      <c r="Q817" s="193"/>
      <c r="R817" s="193"/>
    </row>
    <row r="818" spans="11:18" x14ac:dyDescent="0.25">
      <c r="K818" s="47"/>
      <c r="L818" s="5"/>
      <c r="M818" s="1"/>
      <c r="N818" s="1"/>
      <c r="O818" s="37"/>
      <c r="P818" s="193"/>
      <c r="Q818" s="193"/>
      <c r="R818" s="193"/>
    </row>
    <row r="819" spans="11:18" x14ac:dyDescent="0.25">
      <c r="K819" s="47"/>
      <c r="L819" s="5"/>
      <c r="M819" s="1"/>
      <c r="N819" s="1"/>
      <c r="O819" s="37"/>
      <c r="P819" s="193"/>
      <c r="Q819" s="193"/>
      <c r="R819" s="193"/>
    </row>
    <row r="820" spans="11:18" x14ac:dyDescent="0.25">
      <c r="K820" s="47"/>
      <c r="L820" s="5"/>
      <c r="M820" s="1"/>
      <c r="N820" s="1"/>
      <c r="O820" s="37"/>
      <c r="P820" s="193"/>
      <c r="Q820" s="193"/>
      <c r="R820" s="193"/>
    </row>
    <row r="821" spans="11:18" x14ac:dyDescent="0.25">
      <c r="K821" s="47"/>
      <c r="L821" s="5"/>
      <c r="M821" s="1"/>
      <c r="N821" s="1"/>
      <c r="O821" s="37"/>
      <c r="P821" s="193"/>
      <c r="Q821" s="193"/>
      <c r="R821" s="193"/>
    </row>
    <row r="822" spans="11:18" x14ac:dyDescent="0.25">
      <c r="K822" s="47"/>
      <c r="L822" s="5"/>
      <c r="M822" s="1"/>
      <c r="N822" s="1"/>
      <c r="O822" s="37"/>
      <c r="P822" s="193"/>
      <c r="Q822" s="193"/>
      <c r="R822" s="193"/>
    </row>
    <row r="823" spans="11:18" x14ac:dyDescent="0.25">
      <c r="K823" s="47"/>
      <c r="L823" s="5"/>
      <c r="M823" s="1"/>
      <c r="N823" s="1"/>
      <c r="O823" s="37"/>
      <c r="P823" s="193"/>
      <c r="Q823" s="193"/>
      <c r="R823" s="193"/>
    </row>
    <row r="824" spans="11:18" x14ac:dyDescent="0.25">
      <c r="K824" s="47"/>
      <c r="L824" s="5"/>
      <c r="M824" s="1"/>
      <c r="N824" s="1"/>
      <c r="O824" s="37"/>
      <c r="P824" s="193"/>
      <c r="Q824" s="193"/>
      <c r="R824" s="193"/>
    </row>
    <row r="825" spans="11:18" x14ac:dyDescent="0.25">
      <c r="K825" s="47"/>
      <c r="L825" s="5"/>
      <c r="M825" s="1"/>
      <c r="N825" s="1"/>
      <c r="O825" s="37"/>
      <c r="P825" s="193"/>
      <c r="Q825" s="193"/>
      <c r="R825" s="193"/>
    </row>
    <row r="826" spans="11:18" x14ac:dyDescent="0.25">
      <c r="K826" s="47"/>
      <c r="L826" s="5"/>
      <c r="M826" s="1"/>
      <c r="N826" s="1"/>
      <c r="O826" s="37"/>
      <c r="P826" s="193"/>
      <c r="Q826" s="193"/>
      <c r="R826" s="193"/>
    </row>
    <row r="827" spans="11:18" x14ac:dyDescent="0.25">
      <c r="K827" s="47"/>
      <c r="L827" s="5"/>
      <c r="M827" s="1"/>
      <c r="N827" s="1"/>
      <c r="O827" s="37"/>
      <c r="P827" s="193"/>
      <c r="Q827" s="193"/>
      <c r="R827" s="193"/>
    </row>
    <row r="828" spans="11:18" x14ac:dyDescent="0.25">
      <c r="K828" s="47"/>
      <c r="L828" s="5"/>
      <c r="M828" s="1"/>
      <c r="N828" s="1"/>
      <c r="O828" s="37"/>
      <c r="P828" s="193"/>
      <c r="Q828" s="193"/>
      <c r="R828" s="193"/>
    </row>
    <row r="829" spans="11:18" x14ac:dyDescent="0.25">
      <c r="K829" s="47"/>
      <c r="L829" s="5"/>
      <c r="M829" s="1"/>
      <c r="N829" s="1"/>
      <c r="O829" s="37"/>
      <c r="P829" s="193"/>
      <c r="Q829" s="193"/>
      <c r="R829" s="193"/>
    </row>
    <row r="830" spans="11:18" x14ac:dyDescent="0.25">
      <c r="K830" s="47"/>
      <c r="L830" s="5"/>
      <c r="M830" s="1"/>
      <c r="N830" s="1"/>
      <c r="O830" s="37"/>
      <c r="P830" s="193"/>
      <c r="Q830" s="193"/>
      <c r="R830" s="193"/>
    </row>
    <row r="831" spans="11:18" x14ac:dyDescent="0.25">
      <c r="K831" s="47"/>
      <c r="L831" s="5"/>
      <c r="M831" s="1"/>
      <c r="N831" s="1"/>
      <c r="O831" s="37"/>
      <c r="P831" s="193"/>
      <c r="Q831" s="193"/>
      <c r="R831" s="193"/>
    </row>
    <row r="832" spans="11:18" x14ac:dyDescent="0.25">
      <c r="K832" s="47"/>
      <c r="L832" s="5"/>
      <c r="M832" s="1"/>
      <c r="N832" s="1"/>
      <c r="O832" s="37"/>
      <c r="P832" s="193"/>
      <c r="Q832" s="193"/>
      <c r="R832" s="193"/>
    </row>
    <row r="833" spans="11:18" x14ac:dyDescent="0.25">
      <c r="K833" s="47"/>
      <c r="L833" s="5"/>
      <c r="M833" s="1"/>
      <c r="N833" s="1"/>
      <c r="O833" s="37"/>
      <c r="P833" s="193"/>
      <c r="Q833" s="193"/>
      <c r="R833" s="193"/>
    </row>
    <row r="834" spans="11:18" x14ac:dyDescent="0.25">
      <c r="K834" s="47"/>
      <c r="L834" s="5"/>
      <c r="M834" s="1"/>
      <c r="N834" s="1"/>
      <c r="O834" s="37"/>
      <c r="P834" s="193"/>
      <c r="Q834" s="193"/>
      <c r="R834" s="193"/>
    </row>
    <row r="835" spans="11:18" x14ac:dyDescent="0.25">
      <c r="K835" s="47"/>
      <c r="L835" s="5"/>
      <c r="M835" s="1"/>
      <c r="N835" s="1"/>
      <c r="O835" s="37"/>
      <c r="P835" s="193"/>
      <c r="Q835" s="193"/>
      <c r="R835" s="193"/>
    </row>
    <row r="836" spans="11:18" x14ac:dyDescent="0.25">
      <c r="K836" s="47"/>
      <c r="L836" s="5"/>
      <c r="M836" s="1"/>
      <c r="N836" s="1"/>
      <c r="O836" s="37"/>
      <c r="P836" s="193"/>
      <c r="Q836" s="193"/>
      <c r="R836" s="193"/>
    </row>
    <row r="837" spans="11:18" x14ac:dyDescent="0.25">
      <c r="K837" s="47"/>
      <c r="L837" s="5"/>
      <c r="M837" s="1"/>
      <c r="N837" s="1"/>
      <c r="O837" s="37"/>
      <c r="P837" s="193"/>
      <c r="Q837" s="193"/>
      <c r="R837" s="193"/>
    </row>
    <row r="838" spans="11:18" x14ac:dyDescent="0.25">
      <c r="K838" s="47"/>
      <c r="L838" s="5"/>
      <c r="M838" s="1"/>
      <c r="N838" s="1"/>
      <c r="O838" s="37"/>
      <c r="P838" s="193"/>
      <c r="Q838" s="193"/>
      <c r="R838" s="193"/>
    </row>
    <row r="839" spans="11:18" x14ac:dyDescent="0.25">
      <c r="K839" s="47"/>
      <c r="L839" s="5"/>
      <c r="M839" s="1"/>
      <c r="N839" s="1"/>
      <c r="O839" s="37"/>
      <c r="P839" s="193"/>
      <c r="Q839" s="193"/>
      <c r="R839" s="193"/>
    </row>
    <row r="840" spans="11:18" x14ac:dyDescent="0.25">
      <c r="K840" s="47"/>
      <c r="L840" s="5"/>
      <c r="M840" s="1"/>
      <c r="N840" s="1"/>
      <c r="O840" s="37"/>
      <c r="P840" s="193"/>
      <c r="Q840" s="193"/>
      <c r="R840" s="193"/>
    </row>
    <row r="841" spans="11:18" x14ac:dyDescent="0.25">
      <c r="K841" s="47"/>
      <c r="L841" s="5"/>
      <c r="M841" s="1"/>
      <c r="N841" s="1"/>
      <c r="O841" s="37"/>
      <c r="P841" s="193"/>
      <c r="Q841" s="193"/>
      <c r="R841" s="193"/>
    </row>
    <row r="842" spans="11:18" x14ac:dyDescent="0.25">
      <c r="K842" s="47"/>
      <c r="L842" s="5"/>
      <c r="M842" s="1"/>
      <c r="N842" s="1"/>
      <c r="O842" s="37"/>
      <c r="P842" s="193"/>
      <c r="Q842" s="193"/>
      <c r="R842" s="193"/>
    </row>
    <row r="843" spans="11:18" x14ac:dyDescent="0.25">
      <c r="K843" s="47"/>
      <c r="L843" s="5"/>
      <c r="M843" s="1"/>
      <c r="N843" s="1"/>
      <c r="O843" s="37"/>
      <c r="P843" s="193"/>
      <c r="Q843" s="193"/>
      <c r="R843" s="193"/>
    </row>
    <row r="844" spans="11:18" x14ac:dyDescent="0.25">
      <c r="K844" s="47"/>
      <c r="L844" s="5"/>
      <c r="M844" s="1"/>
      <c r="N844" s="1"/>
      <c r="O844" s="37"/>
      <c r="P844" s="193"/>
      <c r="Q844" s="193"/>
      <c r="R844" s="193"/>
    </row>
    <row r="845" spans="11:18" x14ac:dyDescent="0.25">
      <c r="K845" s="47"/>
      <c r="L845" s="5"/>
      <c r="M845" s="1"/>
      <c r="N845" s="1"/>
      <c r="O845" s="37"/>
      <c r="P845" s="193"/>
      <c r="Q845" s="193"/>
      <c r="R845" s="193"/>
    </row>
    <row r="846" spans="11:18" x14ac:dyDescent="0.25">
      <c r="K846" s="47"/>
      <c r="L846" s="5"/>
      <c r="M846" s="1"/>
      <c r="N846" s="1"/>
      <c r="O846" s="37"/>
      <c r="P846" s="193"/>
      <c r="Q846" s="193"/>
      <c r="R846" s="193"/>
    </row>
    <row r="847" spans="11:18" x14ac:dyDescent="0.25">
      <c r="K847" s="47"/>
      <c r="L847" s="5"/>
      <c r="M847" s="1"/>
      <c r="N847" s="1"/>
      <c r="O847" s="37"/>
      <c r="P847" s="193"/>
      <c r="Q847" s="193"/>
      <c r="R847" s="193"/>
    </row>
    <row r="848" spans="11:18" x14ac:dyDescent="0.25">
      <c r="K848" s="47"/>
      <c r="L848" s="5"/>
      <c r="M848" s="1"/>
      <c r="N848" s="1"/>
      <c r="O848" s="37"/>
      <c r="P848" s="193"/>
      <c r="Q848" s="193"/>
      <c r="R848" s="193"/>
    </row>
    <row r="849" spans="11:18" x14ac:dyDescent="0.25">
      <c r="K849" s="47"/>
      <c r="L849" s="5"/>
      <c r="M849" s="1"/>
      <c r="N849" s="1"/>
      <c r="O849" s="37"/>
      <c r="P849" s="193"/>
      <c r="Q849" s="193"/>
      <c r="R849" s="193"/>
    </row>
    <row r="850" spans="11:18" x14ac:dyDescent="0.25">
      <c r="K850" s="47"/>
      <c r="L850" s="5"/>
      <c r="M850" s="1"/>
      <c r="N850" s="1"/>
      <c r="O850" s="37"/>
      <c r="P850" s="193"/>
      <c r="Q850" s="193"/>
      <c r="R850" s="193"/>
    </row>
    <row r="851" spans="11:18" x14ac:dyDescent="0.25">
      <c r="K851" s="47"/>
      <c r="L851" s="5"/>
      <c r="M851" s="1"/>
      <c r="N851" s="1"/>
      <c r="O851" s="37"/>
      <c r="P851" s="193"/>
      <c r="Q851" s="193"/>
      <c r="R851" s="193"/>
    </row>
    <row r="852" spans="11:18" x14ac:dyDescent="0.25">
      <c r="K852" s="47"/>
      <c r="L852" s="5"/>
      <c r="M852" s="1"/>
      <c r="N852" s="1"/>
      <c r="O852" s="37"/>
      <c r="P852" s="193"/>
      <c r="Q852" s="193"/>
      <c r="R852" s="193"/>
    </row>
    <row r="853" spans="11:18" x14ac:dyDescent="0.25">
      <c r="K853" s="47"/>
      <c r="L853" s="5"/>
      <c r="M853" s="1"/>
      <c r="N853" s="1"/>
      <c r="O853" s="37"/>
      <c r="P853" s="193"/>
      <c r="Q853" s="193"/>
      <c r="R853" s="193"/>
    </row>
    <row r="854" spans="11:18" x14ac:dyDescent="0.25">
      <c r="K854" s="47"/>
      <c r="L854" s="5"/>
      <c r="M854" s="1"/>
      <c r="N854" s="1"/>
      <c r="O854" s="37"/>
      <c r="P854" s="193"/>
      <c r="Q854" s="193"/>
      <c r="R854" s="193"/>
    </row>
    <row r="855" spans="11:18" x14ac:dyDescent="0.25">
      <c r="K855" s="47"/>
      <c r="L855" s="5"/>
      <c r="M855" s="1"/>
      <c r="N855" s="1"/>
      <c r="O855" s="37"/>
      <c r="P855" s="193"/>
      <c r="Q855" s="193"/>
      <c r="R855" s="193"/>
    </row>
    <row r="856" spans="11:18" x14ac:dyDescent="0.25">
      <c r="K856" s="47"/>
      <c r="L856" s="5"/>
      <c r="M856" s="1"/>
      <c r="N856" s="1"/>
      <c r="O856" s="37"/>
      <c r="P856" s="193"/>
      <c r="Q856" s="193"/>
      <c r="R856" s="193"/>
    </row>
    <row r="857" spans="11:18" x14ac:dyDescent="0.25">
      <c r="K857" s="47"/>
      <c r="L857" s="5"/>
      <c r="M857" s="1"/>
      <c r="N857" s="1"/>
      <c r="O857" s="37"/>
      <c r="P857" s="193"/>
      <c r="Q857" s="193"/>
      <c r="R857" s="193"/>
    </row>
    <row r="858" spans="11:18" x14ac:dyDescent="0.25">
      <c r="K858" s="47"/>
      <c r="L858" s="5"/>
      <c r="M858" s="1"/>
      <c r="N858" s="1"/>
      <c r="O858" s="37"/>
      <c r="P858" s="193"/>
      <c r="Q858" s="193"/>
      <c r="R858" s="193"/>
    </row>
    <row r="859" spans="11:18" x14ac:dyDescent="0.25">
      <c r="K859" s="47"/>
      <c r="L859" s="5"/>
      <c r="M859" s="1"/>
      <c r="N859" s="1"/>
      <c r="O859" s="37"/>
      <c r="P859" s="193"/>
      <c r="Q859" s="193"/>
      <c r="R859" s="193"/>
    </row>
    <row r="860" spans="11:18" x14ac:dyDescent="0.25">
      <c r="K860" s="47"/>
      <c r="L860" s="5"/>
      <c r="M860" s="1"/>
      <c r="N860" s="1"/>
      <c r="O860" s="37"/>
      <c r="P860" s="193"/>
      <c r="Q860" s="193"/>
      <c r="R860" s="193"/>
    </row>
    <row r="861" spans="11:18" x14ac:dyDescent="0.25">
      <c r="K861" s="47"/>
      <c r="L861" s="5"/>
      <c r="M861" s="1"/>
      <c r="N861" s="1"/>
      <c r="O861" s="37"/>
      <c r="P861" s="193"/>
      <c r="Q861" s="193"/>
      <c r="R861" s="193"/>
    </row>
    <row r="862" spans="11:18" x14ac:dyDescent="0.25">
      <c r="K862" s="47"/>
      <c r="L862" s="5"/>
      <c r="M862" s="1"/>
      <c r="N862" s="1"/>
      <c r="O862" s="37"/>
      <c r="P862" s="193"/>
      <c r="Q862" s="193"/>
      <c r="R862" s="193"/>
    </row>
    <row r="863" spans="11:18" x14ac:dyDescent="0.25">
      <c r="K863" s="47"/>
      <c r="L863" s="5"/>
      <c r="M863" s="1"/>
      <c r="N863" s="1"/>
      <c r="O863" s="37"/>
      <c r="P863" s="193"/>
      <c r="Q863" s="193"/>
      <c r="R863" s="193"/>
    </row>
    <row r="864" spans="11:18" x14ac:dyDescent="0.25">
      <c r="K864" s="47"/>
      <c r="L864" s="5"/>
      <c r="M864" s="1"/>
      <c r="N864" s="1"/>
      <c r="O864" s="37"/>
      <c r="P864" s="193"/>
      <c r="Q864" s="193"/>
      <c r="R864" s="193"/>
    </row>
    <row r="865" spans="11:18" x14ac:dyDescent="0.25">
      <c r="K865" s="47"/>
      <c r="L865" s="5"/>
      <c r="M865" s="1"/>
      <c r="N865" s="1"/>
      <c r="O865" s="37"/>
      <c r="P865" s="193"/>
      <c r="Q865" s="193"/>
      <c r="R865" s="193"/>
    </row>
    <row r="866" spans="11:18" x14ac:dyDescent="0.25">
      <c r="K866" s="47"/>
      <c r="L866" s="5"/>
      <c r="M866" s="1"/>
      <c r="N866" s="1"/>
      <c r="O866" s="37"/>
      <c r="P866" s="193"/>
      <c r="Q866" s="193"/>
      <c r="R866" s="193"/>
    </row>
    <row r="867" spans="11:18" x14ac:dyDescent="0.25">
      <c r="K867" s="47"/>
      <c r="L867" s="5"/>
      <c r="M867" s="1"/>
      <c r="N867" s="1"/>
      <c r="O867" s="37"/>
      <c r="P867" s="193"/>
      <c r="Q867" s="193"/>
      <c r="R867" s="193"/>
    </row>
    <row r="868" spans="11:18" x14ac:dyDescent="0.25">
      <c r="K868" s="47"/>
      <c r="L868" s="5"/>
      <c r="M868" s="1"/>
      <c r="N868" s="1"/>
      <c r="O868" s="37"/>
      <c r="P868" s="193"/>
      <c r="Q868" s="193"/>
      <c r="R868" s="193"/>
    </row>
    <row r="869" spans="11:18" x14ac:dyDescent="0.25">
      <c r="K869" s="47"/>
      <c r="L869" s="5"/>
      <c r="M869" s="1"/>
      <c r="N869" s="1"/>
      <c r="O869" s="37"/>
      <c r="P869" s="193"/>
      <c r="Q869" s="193"/>
      <c r="R869" s="193"/>
    </row>
    <row r="870" spans="11:18" x14ac:dyDescent="0.25">
      <c r="K870" s="47"/>
      <c r="L870" s="5"/>
      <c r="M870" s="1"/>
      <c r="N870" s="1"/>
      <c r="O870" s="37"/>
      <c r="P870" s="193"/>
      <c r="Q870" s="193"/>
      <c r="R870" s="193"/>
    </row>
    <row r="871" spans="11:18" x14ac:dyDescent="0.25">
      <c r="K871" s="47"/>
      <c r="L871" s="5"/>
      <c r="M871" s="1"/>
      <c r="N871" s="1"/>
      <c r="O871" s="37"/>
      <c r="P871" s="193"/>
      <c r="Q871" s="193"/>
      <c r="R871" s="193"/>
    </row>
    <row r="872" spans="11:18" x14ac:dyDescent="0.25">
      <c r="K872" s="47"/>
      <c r="L872" s="5"/>
      <c r="M872" s="1"/>
      <c r="N872" s="1"/>
      <c r="O872" s="37"/>
      <c r="P872" s="193"/>
      <c r="Q872" s="193"/>
      <c r="R872" s="193"/>
    </row>
    <row r="873" spans="11:18" x14ac:dyDescent="0.25">
      <c r="K873" s="47"/>
      <c r="L873" s="5"/>
      <c r="M873" s="1"/>
      <c r="N873" s="1"/>
      <c r="O873" s="37"/>
      <c r="P873" s="193"/>
      <c r="Q873" s="193"/>
      <c r="R873" s="193"/>
    </row>
    <row r="874" spans="11:18" x14ac:dyDescent="0.25">
      <c r="K874" s="47"/>
      <c r="L874" s="5"/>
      <c r="M874" s="1"/>
      <c r="N874" s="1"/>
      <c r="O874" s="37"/>
      <c r="P874" s="193"/>
      <c r="Q874" s="193"/>
      <c r="R874" s="193"/>
    </row>
    <row r="875" spans="11:18" x14ac:dyDescent="0.25">
      <c r="K875" s="47"/>
      <c r="L875" s="5"/>
      <c r="M875" s="1"/>
      <c r="N875" s="1"/>
      <c r="O875" s="37"/>
      <c r="P875" s="193"/>
      <c r="Q875" s="193"/>
      <c r="R875" s="193"/>
    </row>
    <row r="876" spans="11:18" x14ac:dyDescent="0.25">
      <c r="K876" s="47"/>
      <c r="L876" s="5"/>
      <c r="M876" s="1"/>
      <c r="N876" s="1"/>
      <c r="O876" s="37"/>
      <c r="P876" s="193"/>
      <c r="Q876" s="193"/>
      <c r="R876" s="193"/>
    </row>
    <row r="877" spans="11:18" x14ac:dyDescent="0.25">
      <c r="K877" s="47"/>
      <c r="L877" s="5"/>
      <c r="M877" s="1"/>
      <c r="N877" s="1"/>
      <c r="O877" s="37"/>
      <c r="P877" s="193"/>
      <c r="Q877" s="193"/>
      <c r="R877" s="193"/>
    </row>
    <row r="878" spans="11:18" x14ac:dyDescent="0.25">
      <c r="K878" s="47"/>
      <c r="L878" s="5"/>
      <c r="M878" s="1"/>
      <c r="N878" s="1"/>
      <c r="O878" s="37"/>
      <c r="P878" s="193"/>
      <c r="Q878" s="193"/>
      <c r="R878" s="193"/>
    </row>
    <row r="879" spans="11:18" x14ac:dyDescent="0.25">
      <c r="K879" s="47"/>
      <c r="L879" s="5"/>
      <c r="M879" s="1"/>
      <c r="N879" s="1"/>
      <c r="O879" s="37"/>
      <c r="P879" s="193"/>
      <c r="Q879" s="193"/>
      <c r="R879" s="193"/>
    </row>
    <row r="880" spans="11:18" x14ac:dyDescent="0.25">
      <c r="K880" s="47"/>
      <c r="L880" s="5"/>
      <c r="M880" s="1"/>
      <c r="N880" s="1"/>
      <c r="O880" s="37"/>
      <c r="P880" s="193"/>
      <c r="Q880" s="193"/>
      <c r="R880" s="193"/>
    </row>
    <row r="881" spans="11:18" x14ac:dyDescent="0.25">
      <c r="K881" s="47"/>
      <c r="L881" s="5"/>
      <c r="M881" s="1"/>
      <c r="N881" s="1"/>
      <c r="O881" s="37"/>
      <c r="P881" s="193"/>
      <c r="Q881" s="193"/>
      <c r="R881" s="193"/>
    </row>
    <row r="882" spans="11:18" x14ac:dyDescent="0.25">
      <c r="K882" s="47"/>
      <c r="L882" s="5"/>
      <c r="M882" s="1"/>
      <c r="N882" s="1"/>
      <c r="O882" s="37"/>
      <c r="P882" s="193"/>
      <c r="Q882" s="193"/>
      <c r="R882" s="193"/>
    </row>
    <row r="883" spans="11:18" x14ac:dyDescent="0.25">
      <c r="K883" s="47"/>
      <c r="L883" s="5"/>
      <c r="M883" s="1"/>
      <c r="N883" s="1"/>
      <c r="O883" s="37"/>
      <c r="P883" s="193"/>
      <c r="Q883" s="193"/>
      <c r="R883" s="193"/>
    </row>
    <row r="884" spans="11:18" x14ac:dyDescent="0.25">
      <c r="K884" s="47"/>
      <c r="L884" s="5"/>
      <c r="M884" s="1"/>
      <c r="N884" s="1"/>
      <c r="O884" s="37"/>
      <c r="P884" s="193"/>
      <c r="Q884" s="193"/>
      <c r="R884" s="193"/>
    </row>
    <row r="885" spans="11:18" x14ac:dyDescent="0.25">
      <c r="K885" s="47"/>
      <c r="L885" s="5"/>
      <c r="M885" s="1"/>
      <c r="N885" s="1"/>
      <c r="O885" s="37"/>
      <c r="P885" s="193"/>
      <c r="Q885" s="193"/>
      <c r="R885" s="193"/>
    </row>
    <row r="886" spans="11:18" x14ac:dyDescent="0.25">
      <c r="K886" s="47"/>
      <c r="L886" s="5"/>
      <c r="M886" s="1"/>
      <c r="N886" s="1"/>
      <c r="O886" s="37"/>
      <c r="P886" s="193"/>
      <c r="Q886" s="193"/>
      <c r="R886" s="193"/>
    </row>
    <row r="887" spans="11:18" x14ac:dyDescent="0.25">
      <c r="K887" s="47"/>
      <c r="L887" s="5"/>
      <c r="M887" s="1"/>
      <c r="N887" s="1"/>
      <c r="O887" s="37"/>
      <c r="P887" s="193"/>
      <c r="Q887" s="193"/>
      <c r="R887" s="193"/>
    </row>
    <row r="888" spans="11:18" x14ac:dyDescent="0.25">
      <c r="K888" s="47"/>
      <c r="L888" s="5"/>
      <c r="M888" s="1"/>
      <c r="N888" s="1"/>
      <c r="O888" s="37"/>
      <c r="P888" s="193"/>
      <c r="Q888" s="193"/>
      <c r="R888" s="193"/>
    </row>
    <row r="889" spans="11:18" x14ac:dyDescent="0.25">
      <c r="K889" s="47"/>
      <c r="L889" s="5"/>
      <c r="M889" s="1"/>
      <c r="N889" s="1"/>
      <c r="O889" s="37"/>
      <c r="P889" s="193"/>
      <c r="Q889" s="193"/>
      <c r="R889" s="193"/>
    </row>
    <row r="890" spans="11:18" x14ac:dyDescent="0.25">
      <c r="K890" s="47"/>
      <c r="L890" s="5"/>
      <c r="M890" s="1"/>
      <c r="N890" s="1"/>
      <c r="O890" s="37"/>
      <c r="P890" s="193"/>
      <c r="Q890" s="193"/>
      <c r="R890" s="193"/>
    </row>
    <row r="891" spans="11:18" x14ac:dyDescent="0.25">
      <c r="K891" s="47"/>
      <c r="L891" s="5"/>
      <c r="M891" s="1"/>
      <c r="N891" s="1"/>
      <c r="O891" s="37"/>
      <c r="P891" s="193"/>
      <c r="Q891" s="193"/>
      <c r="R891" s="193"/>
    </row>
    <row r="892" spans="11:18" x14ac:dyDescent="0.25">
      <c r="K892" s="47"/>
      <c r="L892" s="5"/>
      <c r="M892" s="1"/>
      <c r="N892" s="1"/>
      <c r="O892" s="37"/>
      <c r="P892" s="193"/>
      <c r="Q892" s="193"/>
      <c r="R892" s="193"/>
    </row>
    <row r="893" spans="11:18" x14ac:dyDescent="0.25">
      <c r="K893" s="47"/>
      <c r="L893" s="5"/>
      <c r="M893" s="1"/>
      <c r="N893" s="1"/>
      <c r="O893" s="37"/>
      <c r="P893" s="193"/>
      <c r="Q893" s="193"/>
      <c r="R893" s="193"/>
    </row>
    <row r="894" spans="11:18" x14ac:dyDescent="0.25">
      <c r="K894" s="47"/>
      <c r="L894" s="5"/>
      <c r="M894" s="1"/>
      <c r="N894" s="1"/>
      <c r="O894" s="37"/>
      <c r="P894" s="193"/>
      <c r="Q894" s="193"/>
      <c r="R894" s="193"/>
    </row>
    <row r="895" spans="11:18" x14ac:dyDescent="0.25">
      <c r="K895" s="47"/>
      <c r="L895" s="5"/>
      <c r="M895" s="1"/>
      <c r="N895" s="1"/>
      <c r="O895" s="37"/>
      <c r="P895" s="193"/>
      <c r="Q895" s="193"/>
      <c r="R895" s="193"/>
    </row>
    <row r="896" spans="11:18" x14ac:dyDescent="0.25">
      <c r="K896" s="47"/>
      <c r="L896" s="5"/>
      <c r="M896" s="1"/>
      <c r="N896" s="1"/>
      <c r="O896" s="37"/>
      <c r="P896" s="193"/>
      <c r="Q896" s="193"/>
      <c r="R896" s="193"/>
    </row>
    <row r="897" spans="11:18" x14ac:dyDescent="0.25">
      <c r="K897" s="47"/>
      <c r="L897" s="5"/>
      <c r="M897" s="1"/>
      <c r="N897" s="1"/>
      <c r="O897" s="37"/>
      <c r="P897" s="193"/>
      <c r="Q897" s="193"/>
      <c r="R897" s="193"/>
    </row>
    <row r="898" spans="11:18" x14ac:dyDescent="0.25">
      <c r="K898" s="47"/>
      <c r="L898" s="5"/>
      <c r="M898" s="1"/>
      <c r="N898" s="1"/>
      <c r="O898" s="37"/>
      <c r="P898" s="193"/>
      <c r="Q898" s="193"/>
      <c r="R898" s="193"/>
    </row>
    <row r="899" spans="11:18" x14ac:dyDescent="0.25">
      <c r="K899" s="47"/>
      <c r="L899" s="5"/>
      <c r="M899" s="1"/>
      <c r="N899" s="1"/>
      <c r="O899" s="37"/>
      <c r="P899" s="193"/>
      <c r="Q899" s="193"/>
      <c r="R899" s="193"/>
    </row>
    <row r="900" spans="11:18" x14ac:dyDescent="0.25">
      <c r="K900" s="47"/>
      <c r="L900" s="5"/>
      <c r="M900" s="1"/>
      <c r="N900" s="1"/>
      <c r="O900" s="37"/>
      <c r="P900" s="193"/>
      <c r="Q900" s="193"/>
      <c r="R900" s="193"/>
    </row>
    <row r="901" spans="11:18" x14ac:dyDescent="0.25">
      <c r="K901" s="47"/>
      <c r="L901" s="5"/>
      <c r="M901" s="1"/>
      <c r="N901" s="1"/>
      <c r="O901" s="37"/>
      <c r="P901" s="193"/>
      <c r="Q901" s="193"/>
      <c r="R901" s="193"/>
    </row>
    <row r="902" spans="11:18" x14ac:dyDescent="0.25">
      <c r="K902" s="47"/>
      <c r="L902" s="5"/>
      <c r="M902" s="1"/>
      <c r="N902" s="1"/>
      <c r="O902" s="37"/>
      <c r="P902" s="193"/>
      <c r="Q902" s="193"/>
      <c r="R902" s="193"/>
    </row>
    <row r="903" spans="11:18" x14ac:dyDescent="0.25">
      <c r="K903" s="47"/>
      <c r="L903" s="5"/>
      <c r="M903" s="1"/>
      <c r="N903" s="1"/>
      <c r="O903" s="37"/>
      <c r="P903" s="193"/>
      <c r="Q903" s="193"/>
      <c r="R903" s="193"/>
    </row>
    <row r="904" spans="11:18" x14ac:dyDescent="0.25">
      <c r="K904" s="47"/>
      <c r="L904" s="5"/>
      <c r="M904" s="1"/>
      <c r="N904" s="1"/>
      <c r="O904" s="37"/>
      <c r="P904" s="193"/>
      <c r="Q904" s="193"/>
      <c r="R904" s="193"/>
    </row>
    <row r="905" spans="11:18" x14ac:dyDescent="0.25">
      <c r="K905" s="47"/>
      <c r="L905" s="5"/>
      <c r="M905" s="1"/>
      <c r="N905" s="1"/>
      <c r="O905" s="37"/>
      <c r="P905" s="193"/>
      <c r="Q905" s="193"/>
      <c r="R905" s="193"/>
    </row>
    <row r="906" spans="11:18" x14ac:dyDescent="0.25">
      <c r="K906" s="47"/>
      <c r="L906" s="5"/>
      <c r="M906" s="1"/>
      <c r="N906" s="1"/>
      <c r="O906" s="37"/>
      <c r="P906" s="193"/>
      <c r="Q906" s="193"/>
      <c r="R906" s="193"/>
    </row>
    <row r="907" spans="11:18" x14ac:dyDescent="0.25">
      <c r="K907" s="47"/>
      <c r="L907" s="5"/>
      <c r="M907" s="1"/>
      <c r="N907" s="1"/>
      <c r="O907" s="37"/>
      <c r="P907" s="193"/>
      <c r="Q907" s="193"/>
      <c r="R907" s="193"/>
    </row>
    <row r="908" spans="11:18" x14ac:dyDescent="0.25">
      <c r="K908" s="47"/>
      <c r="L908" s="5"/>
      <c r="M908" s="1"/>
      <c r="N908" s="1"/>
      <c r="O908" s="37"/>
      <c r="P908" s="193"/>
      <c r="Q908" s="193"/>
      <c r="R908" s="193"/>
    </row>
    <row r="909" spans="11:18" x14ac:dyDescent="0.25">
      <c r="K909" s="47"/>
      <c r="L909" s="5"/>
      <c r="M909" s="1"/>
      <c r="N909" s="1"/>
      <c r="O909" s="37"/>
      <c r="P909" s="193"/>
      <c r="Q909" s="193"/>
      <c r="R909" s="193"/>
    </row>
    <row r="910" spans="11:18" x14ac:dyDescent="0.25">
      <c r="K910" s="47"/>
      <c r="L910" s="5"/>
      <c r="M910" s="1"/>
      <c r="N910" s="1"/>
      <c r="O910" s="37"/>
      <c r="P910" s="193"/>
      <c r="Q910" s="193"/>
      <c r="R910" s="193"/>
    </row>
    <row r="911" spans="11:18" x14ac:dyDescent="0.25">
      <c r="K911" s="47"/>
      <c r="L911" s="5"/>
      <c r="M911" s="1"/>
      <c r="N911" s="1"/>
      <c r="O911" s="37"/>
      <c r="P911" s="193"/>
      <c r="Q911" s="193"/>
      <c r="R911" s="193"/>
    </row>
    <row r="912" spans="11:18" x14ac:dyDescent="0.25">
      <c r="K912" s="47"/>
      <c r="L912" s="5"/>
      <c r="M912" s="1"/>
      <c r="N912" s="1"/>
      <c r="O912" s="37"/>
      <c r="P912" s="193"/>
      <c r="Q912" s="193"/>
      <c r="R912" s="193"/>
    </row>
    <row r="913" spans="11:18" x14ac:dyDescent="0.25">
      <c r="K913" s="47"/>
      <c r="L913" s="5"/>
      <c r="M913" s="1"/>
      <c r="N913" s="1"/>
      <c r="O913" s="37"/>
      <c r="P913" s="193"/>
      <c r="Q913" s="193"/>
      <c r="R913" s="193"/>
    </row>
    <row r="914" spans="11:18" x14ac:dyDescent="0.25">
      <c r="K914" s="47"/>
      <c r="L914" s="5"/>
      <c r="M914" s="1"/>
      <c r="N914" s="1"/>
      <c r="O914" s="37"/>
      <c r="P914" s="193"/>
      <c r="Q914" s="193"/>
      <c r="R914" s="193"/>
    </row>
    <row r="915" spans="11:18" x14ac:dyDescent="0.25">
      <c r="K915" s="47"/>
      <c r="L915" s="5"/>
      <c r="M915" s="1"/>
      <c r="N915" s="1"/>
      <c r="O915" s="37"/>
      <c r="P915" s="193"/>
      <c r="Q915" s="193"/>
      <c r="R915" s="193"/>
    </row>
    <row r="916" spans="11:18" x14ac:dyDescent="0.25">
      <c r="K916" s="47"/>
      <c r="L916" s="5"/>
      <c r="M916" s="1"/>
      <c r="N916" s="1"/>
      <c r="O916" s="37"/>
      <c r="P916" s="193"/>
      <c r="Q916" s="193"/>
      <c r="R916" s="193"/>
    </row>
    <row r="917" spans="11:18" x14ac:dyDescent="0.25">
      <c r="K917" s="47"/>
      <c r="L917" s="5"/>
      <c r="M917" s="1"/>
      <c r="N917" s="1"/>
      <c r="O917" s="37"/>
      <c r="P917" s="193"/>
      <c r="Q917" s="193"/>
      <c r="R917" s="193"/>
    </row>
    <row r="918" spans="11:18" x14ac:dyDescent="0.25">
      <c r="K918" s="47"/>
      <c r="L918" s="5"/>
      <c r="M918" s="1"/>
      <c r="N918" s="1"/>
      <c r="O918" s="37"/>
      <c r="P918" s="193"/>
      <c r="Q918" s="193"/>
      <c r="R918" s="193"/>
    </row>
    <row r="919" spans="11:18" x14ac:dyDescent="0.25">
      <c r="K919" s="47"/>
      <c r="L919" s="5"/>
      <c r="M919" s="1"/>
      <c r="N919" s="1"/>
      <c r="O919" s="37"/>
      <c r="P919" s="193"/>
      <c r="Q919" s="193"/>
      <c r="R919" s="193"/>
    </row>
    <row r="920" spans="11:18" x14ac:dyDescent="0.25">
      <c r="K920" s="47"/>
      <c r="L920" s="5"/>
      <c r="M920" s="1"/>
      <c r="N920" s="1"/>
      <c r="O920" s="37"/>
      <c r="P920" s="193"/>
      <c r="Q920" s="193"/>
      <c r="R920" s="193"/>
    </row>
    <row r="921" spans="11:18" x14ac:dyDescent="0.25">
      <c r="K921" s="47"/>
      <c r="L921" s="5"/>
      <c r="M921" s="1"/>
      <c r="N921" s="1"/>
      <c r="O921" s="37"/>
      <c r="P921" s="193"/>
      <c r="Q921" s="193"/>
      <c r="R921" s="193"/>
    </row>
    <row r="922" spans="11:18" x14ac:dyDescent="0.25">
      <c r="K922" s="47"/>
      <c r="L922" s="5"/>
      <c r="M922" s="1"/>
      <c r="N922" s="1"/>
      <c r="O922" s="37"/>
      <c r="P922" s="193"/>
      <c r="Q922" s="193"/>
      <c r="R922" s="193"/>
    </row>
    <row r="923" spans="11:18" x14ac:dyDescent="0.25">
      <c r="K923" s="47"/>
      <c r="L923" s="5"/>
      <c r="M923" s="1"/>
      <c r="N923" s="1"/>
      <c r="O923" s="37"/>
      <c r="P923" s="193"/>
      <c r="Q923" s="193"/>
      <c r="R923" s="193"/>
    </row>
    <row r="924" spans="11:18" x14ac:dyDescent="0.25">
      <c r="K924" s="47"/>
      <c r="L924" s="5"/>
      <c r="M924" s="1"/>
      <c r="N924" s="1"/>
      <c r="O924" s="37"/>
      <c r="P924" s="193"/>
      <c r="Q924" s="193"/>
      <c r="R924" s="193"/>
    </row>
    <row r="925" spans="11:18" x14ac:dyDescent="0.25">
      <c r="K925" s="47"/>
      <c r="L925" s="5"/>
      <c r="M925" s="1"/>
      <c r="N925" s="1"/>
      <c r="O925" s="37"/>
      <c r="P925" s="193"/>
      <c r="Q925" s="193"/>
      <c r="R925" s="193"/>
    </row>
    <row r="926" spans="11:18" x14ac:dyDescent="0.25">
      <c r="K926" s="47"/>
      <c r="L926" s="5"/>
      <c r="M926" s="1"/>
      <c r="N926" s="1"/>
      <c r="O926" s="37"/>
      <c r="P926" s="193"/>
      <c r="Q926" s="193"/>
      <c r="R926" s="193"/>
    </row>
    <row r="927" spans="11:18" x14ac:dyDescent="0.25">
      <c r="K927" s="47"/>
      <c r="L927" s="5"/>
      <c r="M927" s="1"/>
      <c r="N927" s="1"/>
      <c r="O927" s="37"/>
      <c r="P927" s="193"/>
      <c r="Q927" s="193"/>
      <c r="R927" s="193"/>
    </row>
    <row r="928" spans="11:18" x14ac:dyDescent="0.25">
      <c r="K928" s="47"/>
      <c r="L928" s="5"/>
      <c r="M928" s="1"/>
      <c r="N928" s="1"/>
      <c r="O928" s="37"/>
      <c r="P928" s="193"/>
      <c r="Q928" s="193"/>
      <c r="R928" s="193"/>
    </row>
    <row r="929" spans="11:18" x14ac:dyDescent="0.25">
      <c r="K929" s="47"/>
      <c r="L929" s="5"/>
      <c r="M929" s="1"/>
      <c r="N929" s="1"/>
      <c r="O929" s="37"/>
      <c r="P929" s="193"/>
      <c r="Q929" s="193"/>
      <c r="R929" s="193"/>
    </row>
    <row r="930" spans="11:18" x14ac:dyDescent="0.25">
      <c r="K930" s="47"/>
      <c r="L930" s="5"/>
      <c r="M930" s="1"/>
      <c r="N930" s="1"/>
      <c r="O930" s="37"/>
      <c r="P930" s="193"/>
      <c r="Q930" s="193"/>
      <c r="R930" s="193"/>
    </row>
    <row r="931" spans="11:18" x14ac:dyDescent="0.25">
      <c r="K931" s="47"/>
      <c r="L931" s="5"/>
      <c r="M931" s="1"/>
      <c r="N931" s="1"/>
      <c r="O931" s="37"/>
      <c r="P931" s="193"/>
      <c r="Q931" s="193"/>
      <c r="R931" s="193"/>
    </row>
    <row r="932" spans="11:18" x14ac:dyDescent="0.25">
      <c r="K932" s="47"/>
      <c r="L932" s="5"/>
      <c r="M932" s="1"/>
      <c r="N932" s="1"/>
      <c r="O932" s="37"/>
      <c r="P932" s="193"/>
      <c r="Q932" s="193"/>
      <c r="R932" s="193"/>
    </row>
    <row r="933" spans="11:18" x14ac:dyDescent="0.25">
      <c r="K933" s="47"/>
      <c r="L933" s="5"/>
      <c r="M933" s="1"/>
      <c r="N933" s="1"/>
      <c r="O933" s="37"/>
      <c r="P933" s="193"/>
      <c r="Q933" s="193"/>
      <c r="R933" s="193"/>
    </row>
    <row r="934" spans="11:18" x14ac:dyDescent="0.25">
      <c r="K934" s="47"/>
      <c r="L934" s="5"/>
      <c r="M934" s="1"/>
      <c r="N934" s="1"/>
      <c r="O934" s="37"/>
      <c r="P934" s="193"/>
      <c r="Q934" s="193"/>
      <c r="R934" s="193"/>
    </row>
    <row r="935" spans="11:18" x14ac:dyDescent="0.25">
      <c r="K935" s="47"/>
      <c r="L935" s="5"/>
      <c r="M935" s="1"/>
      <c r="N935" s="1"/>
      <c r="O935" s="37"/>
      <c r="P935" s="193"/>
      <c r="Q935" s="193"/>
      <c r="R935" s="193"/>
    </row>
    <row r="936" spans="11:18" x14ac:dyDescent="0.25">
      <c r="K936" s="47"/>
      <c r="L936" s="5"/>
      <c r="M936" s="1"/>
      <c r="N936" s="1"/>
      <c r="O936" s="37"/>
      <c r="P936" s="193"/>
      <c r="Q936" s="193"/>
      <c r="R936" s="193"/>
    </row>
    <row r="937" spans="11:18" x14ac:dyDescent="0.25">
      <c r="K937" s="47"/>
      <c r="L937" s="5"/>
      <c r="M937" s="1"/>
      <c r="N937" s="1"/>
      <c r="O937" s="37"/>
      <c r="P937" s="193"/>
      <c r="Q937" s="193"/>
      <c r="R937" s="193"/>
    </row>
    <row r="938" spans="11:18" x14ac:dyDescent="0.25">
      <c r="K938" s="47"/>
      <c r="L938" s="5"/>
      <c r="M938" s="1"/>
      <c r="N938" s="1"/>
      <c r="O938" s="37"/>
      <c r="P938" s="193"/>
      <c r="Q938" s="193"/>
      <c r="R938" s="193"/>
    </row>
    <row r="939" spans="11:18" x14ac:dyDescent="0.25">
      <c r="K939" s="47"/>
      <c r="L939" s="5"/>
      <c r="M939" s="1"/>
      <c r="N939" s="1"/>
      <c r="O939" s="37"/>
      <c r="P939" s="193"/>
      <c r="Q939" s="193"/>
      <c r="R939" s="193"/>
    </row>
    <row r="940" spans="11:18" x14ac:dyDescent="0.25">
      <c r="K940" s="47"/>
      <c r="L940" s="5"/>
      <c r="M940" s="1"/>
      <c r="N940" s="1"/>
      <c r="O940" s="37"/>
      <c r="P940" s="193"/>
      <c r="Q940" s="193"/>
      <c r="R940" s="193"/>
    </row>
    <row r="941" spans="11:18" x14ac:dyDescent="0.25">
      <c r="K941" s="47"/>
      <c r="L941" s="5"/>
      <c r="M941" s="1"/>
      <c r="N941" s="1"/>
      <c r="O941" s="37"/>
      <c r="P941" s="193"/>
      <c r="Q941" s="193"/>
      <c r="R941" s="193"/>
    </row>
    <row r="942" spans="11:18" x14ac:dyDescent="0.25">
      <c r="K942" s="47"/>
      <c r="L942" s="5"/>
      <c r="M942" s="1"/>
      <c r="N942" s="1"/>
      <c r="O942" s="37"/>
      <c r="P942" s="193"/>
      <c r="Q942" s="193"/>
      <c r="R942" s="193"/>
    </row>
    <row r="943" spans="11:18" x14ac:dyDescent="0.25">
      <c r="K943" s="47"/>
      <c r="L943" s="5"/>
      <c r="M943" s="1"/>
      <c r="N943" s="1"/>
      <c r="O943" s="37"/>
      <c r="P943" s="193"/>
      <c r="Q943" s="193"/>
      <c r="R943" s="193"/>
    </row>
    <row r="944" spans="11:18" x14ac:dyDescent="0.25">
      <c r="K944" s="47"/>
      <c r="L944" s="5"/>
      <c r="M944" s="1"/>
      <c r="N944" s="1"/>
      <c r="O944" s="37"/>
      <c r="P944" s="193"/>
      <c r="Q944" s="193"/>
      <c r="R944" s="193"/>
    </row>
    <row r="945" spans="11:18" x14ac:dyDescent="0.25">
      <c r="K945" s="47"/>
      <c r="L945" s="5"/>
      <c r="M945" s="1"/>
      <c r="N945" s="1"/>
      <c r="O945" s="37"/>
      <c r="P945" s="193"/>
      <c r="Q945" s="193"/>
      <c r="R945" s="193"/>
    </row>
    <row r="946" spans="11:18" x14ac:dyDescent="0.25">
      <c r="K946" s="47"/>
      <c r="L946" s="5"/>
      <c r="M946" s="1"/>
      <c r="N946" s="1"/>
      <c r="O946" s="37"/>
      <c r="P946" s="193"/>
      <c r="Q946" s="193"/>
      <c r="R946" s="193"/>
    </row>
    <row r="947" spans="11:18" x14ac:dyDescent="0.25">
      <c r="K947" s="47"/>
      <c r="L947" s="5"/>
      <c r="M947" s="1"/>
      <c r="N947" s="1"/>
      <c r="O947" s="37"/>
      <c r="P947" s="193"/>
      <c r="Q947" s="193"/>
      <c r="R947" s="193"/>
    </row>
    <row r="948" spans="11:18" x14ac:dyDescent="0.25">
      <c r="K948" s="47"/>
      <c r="L948" s="5"/>
      <c r="M948" s="1"/>
      <c r="N948" s="1"/>
      <c r="O948" s="37"/>
      <c r="P948" s="193"/>
      <c r="Q948" s="193"/>
      <c r="R948" s="193"/>
    </row>
    <row r="949" spans="11:18" x14ac:dyDescent="0.25">
      <c r="K949" s="47"/>
      <c r="L949" s="5"/>
      <c r="M949" s="1"/>
      <c r="N949" s="1"/>
      <c r="O949" s="37"/>
      <c r="P949" s="193"/>
      <c r="Q949" s="193"/>
      <c r="R949" s="193"/>
    </row>
    <row r="950" spans="11:18" x14ac:dyDescent="0.25">
      <c r="K950" s="47"/>
      <c r="L950" s="5"/>
      <c r="M950" s="1"/>
      <c r="N950" s="1"/>
      <c r="O950" s="37"/>
      <c r="P950" s="193"/>
      <c r="Q950" s="193"/>
      <c r="R950" s="193"/>
    </row>
    <row r="951" spans="11:18" x14ac:dyDescent="0.25">
      <c r="K951" s="47"/>
      <c r="L951" s="5"/>
      <c r="M951" s="1"/>
      <c r="N951" s="1"/>
      <c r="O951" s="37"/>
      <c r="P951" s="193"/>
      <c r="Q951" s="193"/>
      <c r="R951" s="193"/>
    </row>
    <row r="952" spans="11:18" x14ac:dyDescent="0.25">
      <c r="K952" s="47"/>
      <c r="L952" s="5"/>
      <c r="M952" s="1"/>
      <c r="N952" s="1"/>
      <c r="O952" s="37"/>
      <c r="P952" s="193"/>
      <c r="Q952" s="193"/>
      <c r="R952" s="193"/>
    </row>
    <row r="953" spans="11:18" x14ac:dyDescent="0.25">
      <c r="K953" s="47"/>
      <c r="L953" s="5"/>
      <c r="M953" s="1"/>
      <c r="N953" s="1"/>
      <c r="O953" s="37"/>
      <c r="P953" s="193"/>
      <c r="Q953" s="193"/>
      <c r="R953" s="193"/>
    </row>
    <row r="954" spans="11:18" x14ac:dyDescent="0.25">
      <c r="K954" s="47"/>
      <c r="L954" s="5"/>
      <c r="M954" s="1"/>
      <c r="N954" s="1"/>
      <c r="O954" s="37"/>
      <c r="P954" s="193"/>
      <c r="Q954" s="193"/>
      <c r="R954" s="193"/>
    </row>
    <row r="955" spans="11:18" x14ac:dyDescent="0.25">
      <c r="K955" s="47"/>
      <c r="L955" s="5"/>
      <c r="M955" s="1"/>
      <c r="N955" s="1"/>
      <c r="O955" s="37"/>
      <c r="P955" s="193"/>
      <c r="Q955" s="193"/>
      <c r="R955" s="193"/>
    </row>
    <row r="956" spans="11:18" x14ac:dyDescent="0.25">
      <c r="K956" s="47"/>
      <c r="L956" s="5"/>
      <c r="M956" s="1"/>
      <c r="N956" s="1"/>
      <c r="O956" s="37"/>
      <c r="P956" s="193"/>
      <c r="Q956" s="193"/>
      <c r="R956" s="193"/>
    </row>
    <row r="957" spans="11:18" x14ac:dyDescent="0.25">
      <c r="K957" s="47"/>
      <c r="L957" s="5"/>
      <c r="M957" s="1"/>
      <c r="N957" s="1"/>
      <c r="O957" s="37"/>
      <c r="P957" s="193"/>
      <c r="Q957" s="193"/>
      <c r="R957" s="193"/>
    </row>
    <row r="958" spans="11:18" x14ac:dyDescent="0.25">
      <c r="K958" s="47"/>
      <c r="L958" s="5"/>
      <c r="M958" s="1"/>
      <c r="N958" s="1"/>
      <c r="O958" s="37"/>
      <c r="P958" s="193"/>
      <c r="Q958" s="193"/>
      <c r="R958" s="193"/>
    </row>
    <row r="959" spans="11:18" x14ac:dyDescent="0.25">
      <c r="K959" s="47"/>
      <c r="L959" s="5"/>
      <c r="M959" s="1"/>
      <c r="N959" s="1"/>
      <c r="O959" s="37"/>
      <c r="P959" s="193"/>
      <c r="Q959" s="193"/>
      <c r="R959" s="193"/>
    </row>
    <row r="960" spans="11:18" x14ac:dyDescent="0.25">
      <c r="K960" s="47"/>
      <c r="L960" s="5"/>
      <c r="M960" s="1"/>
      <c r="N960" s="1"/>
      <c r="O960" s="37"/>
      <c r="P960" s="193"/>
      <c r="Q960" s="193"/>
      <c r="R960" s="193"/>
    </row>
    <row r="961" spans="11:18" x14ac:dyDescent="0.25">
      <c r="K961" s="47"/>
      <c r="L961" s="5"/>
      <c r="M961" s="1"/>
      <c r="N961" s="1"/>
      <c r="O961" s="37"/>
      <c r="P961" s="193"/>
      <c r="Q961" s="193"/>
      <c r="R961" s="193"/>
    </row>
    <row r="962" spans="11:18" x14ac:dyDescent="0.25">
      <c r="K962" s="47"/>
      <c r="L962" s="5"/>
      <c r="M962" s="1"/>
      <c r="N962" s="1"/>
      <c r="O962" s="37"/>
      <c r="P962" s="193"/>
      <c r="Q962" s="193"/>
      <c r="R962" s="193"/>
    </row>
    <row r="963" spans="11:18" x14ac:dyDescent="0.25">
      <c r="K963" s="47"/>
      <c r="L963" s="5"/>
      <c r="M963" s="1"/>
      <c r="N963" s="1"/>
      <c r="O963" s="37"/>
      <c r="P963" s="193"/>
      <c r="Q963" s="193"/>
      <c r="R963" s="193"/>
    </row>
    <row r="964" spans="11:18" x14ac:dyDescent="0.25">
      <c r="K964" s="47"/>
      <c r="L964" s="5"/>
      <c r="M964" s="1"/>
      <c r="N964" s="1"/>
      <c r="O964" s="37"/>
      <c r="P964" s="193"/>
      <c r="Q964" s="193"/>
      <c r="R964" s="193"/>
    </row>
    <row r="965" spans="11:18" x14ac:dyDescent="0.25">
      <c r="K965" s="47"/>
      <c r="L965" s="5"/>
      <c r="M965" s="1"/>
      <c r="N965" s="1"/>
      <c r="O965" s="37"/>
      <c r="P965" s="193"/>
      <c r="Q965" s="193"/>
      <c r="R965" s="193"/>
    </row>
    <row r="966" spans="11:18" x14ac:dyDescent="0.25">
      <c r="K966" s="47"/>
      <c r="L966" s="5"/>
      <c r="M966" s="1"/>
      <c r="N966" s="1"/>
      <c r="O966" s="37"/>
      <c r="P966" s="193"/>
      <c r="Q966" s="193"/>
      <c r="R966" s="193"/>
    </row>
    <row r="967" spans="11:18" x14ac:dyDescent="0.25">
      <c r="K967" s="47"/>
      <c r="L967" s="5"/>
      <c r="M967" s="1"/>
      <c r="N967" s="1"/>
      <c r="O967" s="37"/>
      <c r="P967" s="193"/>
      <c r="Q967" s="193"/>
      <c r="R967" s="193"/>
    </row>
    <row r="968" spans="11:18" x14ac:dyDescent="0.25">
      <c r="K968" s="47"/>
      <c r="L968" s="5"/>
      <c r="M968" s="1"/>
      <c r="N968" s="1"/>
      <c r="O968" s="37"/>
      <c r="P968" s="193"/>
      <c r="Q968" s="193"/>
      <c r="R968" s="193"/>
    </row>
    <row r="969" spans="11:18" x14ac:dyDescent="0.25">
      <c r="K969" s="47"/>
      <c r="L969" s="5"/>
      <c r="M969" s="1"/>
      <c r="N969" s="1"/>
      <c r="O969" s="37"/>
      <c r="P969" s="193"/>
      <c r="Q969" s="193"/>
      <c r="R969" s="193"/>
    </row>
    <row r="970" spans="11:18" x14ac:dyDescent="0.25">
      <c r="K970" s="47"/>
      <c r="L970" s="5"/>
      <c r="M970" s="1"/>
      <c r="N970" s="1"/>
      <c r="O970" s="37"/>
      <c r="P970" s="193"/>
      <c r="Q970" s="193"/>
      <c r="R970" s="193"/>
    </row>
    <row r="971" spans="11:18" x14ac:dyDescent="0.25">
      <c r="K971" s="47"/>
      <c r="L971" s="5"/>
      <c r="M971" s="1"/>
      <c r="N971" s="1"/>
      <c r="O971" s="37"/>
      <c r="P971" s="193"/>
      <c r="Q971" s="193"/>
      <c r="R971" s="193"/>
    </row>
  </sheetData>
  <sheetProtection algorithmName="SHA-512" hashValue="o/46LAlmlRsi2axnBUkmjXSTeUQvy85LKBqywJW8OzoWULPS8DP7Qk4v593VI9BGfs+CdZla8AmA6fwmmTIkCg==" saltValue="pqqXt0fz52GlZjCc3D4SBA==" spinCount="100000" sheet="1" selectLockedCells="1"/>
  <mergeCells count="11">
    <mergeCell ref="A1:A2"/>
    <mergeCell ref="B1:B2"/>
    <mergeCell ref="C1:C2"/>
    <mergeCell ref="D1:D2"/>
    <mergeCell ref="J1:J2"/>
    <mergeCell ref="E1:I1"/>
    <mergeCell ref="K1:K2"/>
    <mergeCell ref="L1:L2"/>
    <mergeCell ref="M1:M2"/>
    <mergeCell ref="N1:N2"/>
    <mergeCell ref="O1:O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theme="7"/>
    <pageSetUpPr fitToPage="1"/>
  </sheetPr>
  <dimension ref="A1:W118"/>
  <sheetViews>
    <sheetView zoomScaleNormal="100" workbookViewId="0">
      <selection activeCell="C11" sqref="C11"/>
    </sheetView>
  </sheetViews>
  <sheetFormatPr defaultColWidth="11.5703125" defaultRowHeight="15" x14ac:dyDescent="0.25"/>
  <cols>
    <col min="1" max="1" width="10.7109375" style="2" customWidth="1"/>
    <col min="2" max="2" width="8.85546875" style="4" customWidth="1"/>
    <col min="3" max="4" width="10.42578125" style="1" customWidth="1"/>
    <col min="5" max="5" width="10.42578125" style="4" customWidth="1"/>
    <col min="6" max="6" width="10.42578125" style="3" customWidth="1"/>
    <col min="7" max="8" width="10.42578125" style="4" customWidth="1"/>
    <col min="9" max="9" width="12.140625" style="4" customWidth="1"/>
    <col min="10" max="10" width="12.140625" style="5" customWidth="1"/>
    <col min="11" max="11" width="12.42578125" style="5" customWidth="1"/>
    <col min="12" max="12" width="52.28515625" style="47" customWidth="1"/>
    <col min="13" max="13" width="11.5703125" style="1" customWidth="1"/>
    <col min="14" max="14" width="11.5703125" style="37" customWidth="1"/>
    <col min="15" max="16" width="11.5703125" style="1" customWidth="1"/>
    <col min="17" max="16384" width="11.5703125" style="1"/>
  </cols>
  <sheetData>
    <row r="1" spans="1:23" s="10" customFormat="1" ht="23.25" x14ac:dyDescent="0.35">
      <c r="A1" s="1"/>
      <c r="B1" s="48" t="s">
        <v>19</v>
      </c>
      <c r="C1" s="48"/>
      <c r="D1" s="48"/>
      <c r="E1" s="48" t="s">
        <v>1</v>
      </c>
      <c r="F1" s="1"/>
      <c r="G1" s="4"/>
      <c r="H1" s="5"/>
      <c r="I1" s="1"/>
      <c r="L1" s="33"/>
      <c r="N1" s="33"/>
    </row>
    <row r="2" spans="1:23" s="2" customFormat="1" x14ac:dyDescent="0.25">
      <c r="A2" s="4"/>
      <c r="B2" s="1"/>
      <c r="C2" s="4"/>
      <c r="D2" s="3"/>
      <c r="E2" s="4"/>
      <c r="F2" s="4"/>
      <c r="G2" s="4"/>
      <c r="H2" s="5"/>
      <c r="I2" s="1"/>
      <c r="L2" s="34"/>
      <c r="N2" s="34"/>
    </row>
    <row r="3" spans="1:23" s="2" customFormat="1" ht="15.75" x14ac:dyDescent="0.25">
      <c r="A3" s="6" t="str">
        <f>Yleistiedot!A14</f>
        <v>Munittaja</v>
      </c>
      <c r="B3" s="1"/>
      <c r="C3" s="284">
        <f>Yleistiedot!B14</f>
        <v>0</v>
      </c>
      <c r="D3" s="285"/>
      <c r="E3" s="286"/>
      <c r="G3" s="7" t="str">
        <f>Yleistiedot!A4</f>
        <v>Kuoriutumispäivä</v>
      </c>
      <c r="H3" s="8"/>
      <c r="I3" s="1"/>
      <c r="J3" s="185">
        <f>Yleistiedot!B4</f>
        <v>42370</v>
      </c>
      <c r="K3" s="214"/>
      <c r="L3" s="34"/>
      <c r="N3" s="34"/>
    </row>
    <row r="4" spans="1:23" s="2" customFormat="1" ht="15.75" x14ac:dyDescent="0.25">
      <c r="A4" s="6" t="str">
        <f>Yleistiedot!A15</f>
        <v>Tila/munittamo</v>
      </c>
      <c r="B4" s="1"/>
      <c r="C4" s="284">
        <f>Yleistiedot!B15</f>
        <v>0</v>
      </c>
      <c r="D4" s="285"/>
      <c r="E4" s="286"/>
      <c r="G4" s="7" t="str">
        <f>Yleistiedot!A17</f>
        <v>Munittamoon tulopäivä</v>
      </c>
      <c r="H4" s="8"/>
      <c r="I4" s="1"/>
      <c r="J4" s="185">
        <f>Yleistiedot!B17</f>
        <v>42489</v>
      </c>
      <c r="K4" s="215"/>
      <c r="L4" s="34"/>
      <c r="N4" s="34"/>
    </row>
    <row r="5" spans="1:23" s="2" customFormat="1" ht="15.75" x14ac:dyDescent="0.25">
      <c r="A5" s="6" t="str">
        <f>Yleistiedot!A16</f>
        <v>Parvitunnus</v>
      </c>
      <c r="B5" s="1"/>
      <c r="C5" s="284">
        <f>Yleistiedot!B16</f>
        <v>0</v>
      </c>
      <c r="D5" s="285"/>
      <c r="E5" s="286"/>
      <c r="G5" s="7" t="str">
        <f>Yleistiedot!A18</f>
        <v>Toimitettu nuorikkomäärä</v>
      </c>
      <c r="H5" s="8"/>
      <c r="I5" s="1"/>
      <c r="J5" s="166">
        <f>Yleistiedot!B18</f>
        <v>9990</v>
      </c>
      <c r="K5" s="215"/>
      <c r="L5" s="34"/>
      <c r="N5" s="34"/>
    </row>
    <row r="6" spans="1:23" s="2" customFormat="1" ht="15.75" x14ac:dyDescent="0.25">
      <c r="A6" s="6"/>
      <c r="B6" s="1"/>
      <c r="C6" s="4"/>
      <c r="D6" s="3"/>
      <c r="E6" s="3"/>
      <c r="F6" s="4"/>
      <c r="G6" s="4"/>
      <c r="H6" s="4"/>
      <c r="I6" s="5"/>
      <c r="J6" s="1"/>
      <c r="K6" s="35"/>
      <c r="L6" s="34"/>
      <c r="N6" s="34"/>
    </row>
    <row r="7" spans="1:23" ht="15.75" x14ac:dyDescent="0.25">
      <c r="A7" s="6" t="str">
        <f>Yleistiedot!A11</f>
        <v>Huomioita</v>
      </c>
      <c r="B7" s="1"/>
      <c r="C7" s="282">
        <f>Yleistiedot!B19</f>
        <v>0</v>
      </c>
      <c r="D7" s="283"/>
      <c r="E7" s="283"/>
      <c r="F7" s="283"/>
      <c r="G7" s="283"/>
      <c r="H7" s="283"/>
      <c r="I7" s="283"/>
      <c r="J7" s="283"/>
      <c r="K7" s="36"/>
      <c r="L7" s="36"/>
    </row>
    <row r="8" spans="1:23" ht="15.75" x14ac:dyDescent="0.25">
      <c r="A8" s="6"/>
      <c r="B8" s="1"/>
      <c r="C8" s="38"/>
      <c r="D8" s="38"/>
      <c r="E8" s="38"/>
      <c r="F8" s="38"/>
      <c r="G8" s="38"/>
      <c r="H8" s="38"/>
      <c r="I8" s="38"/>
      <c r="J8" s="38"/>
      <c r="K8" s="38"/>
      <c r="L8" s="36"/>
    </row>
    <row r="9" spans="1:23" x14ac:dyDescent="0.25">
      <c r="A9" s="1"/>
      <c r="B9" s="1"/>
      <c r="E9" s="1"/>
      <c r="F9" s="1"/>
      <c r="G9" s="39"/>
      <c r="H9" s="272" t="s">
        <v>2</v>
      </c>
      <c r="I9" s="272"/>
      <c r="J9" s="272" t="s">
        <v>2</v>
      </c>
      <c r="K9" s="272"/>
      <c r="L9" s="37"/>
    </row>
    <row r="10" spans="1:23" ht="45.75" customHeight="1" x14ac:dyDescent="0.25">
      <c r="A10" s="20" t="s">
        <v>3</v>
      </c>
      <c r="B10" s="20" t="s">
        <v>4</v>
      </c>
      <c r="C10" s="40" t="s">
        <v>16</v>
      </c>
      <c r="D10" s="40" t="s">
        <v>78</v>
      </c>
      <c r="E10" s="40" t="s">
        <v>75</v>
      </c>
      <c r="F10" s="40" t="s">
        <v>17</v>
      </c>
      <c r="G10" s="40" t="s">
        <v>73</v>
      </c>
      <c r="H10" s="21" t="s">
        <v>5</v>
      </c>
      <c r="I10" s="21" t="s">
        <v>6</v>
      </c>
      <c r="J10" s="21" t="s">
        <v>7</v>
      </c>
      <c r="K10" s="21" t="s">
        <v>18</v>
      </c>
      <c r="L10" s="41" t="s">
        <v>10</v>
      </c>
      <c r="M10" s="12"/>
      <c r="N10" s="4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25">
      <c r="A11" s="43">
        <f>IF($J$3&gt;0,$J$3+7*B11, )</f>
        <v>42475</v>
      </c>
      <c r="B11" s="23">
        <v>15</v>
      </c>
      <c r="C11" s="63">
        <f>IFERROR(SUMIFS('tuot-PVÄ'!C$3:C$604,'tuot-PVÄ'!$B$3:$B$604,$B11),"")</f>
        <v>0</v>
      </c>
      <c r="D11" s="63">
        <f>IFERROR(SUMIFS('tuot-PVÄ'!D$3:D$604,'tuot-PVÄ'!$B$3:$B$604,$B11),"")</f>
        <v>0</v>
      </c>
      <c r="E11" s="63">
        <f>IFERROR(SUMIFS('tuot-PVÄ'!I$3:I$604,'tuot-PVÄ'!$B$3:$B$604,$B11),)</f>
        <v>0</v>
      </c>
      <c r="F11" s="63">
        <f>IFERROR(AVERAGEIFS('tuot-PVÄ'!J$3:J$604,'tuot-PVÄ'!$B$3:$B$604,$B11),)</f>
        <v>0</v>
      </c>
      <c r="G11" s="63">
        <f>IFERROR(AVERAGEIFS('tuot-PVÄ'!K$3:K$604,'tuot-PVÄ'!$B$3:$B$604,$B11),)</f>
        <v>0</v>
      </c>
      <c r="H11" s="167"/>
      <c r="I11" s="167">
        <f>IFERROR(AVERAGEIFS('tuot-PVÄ'!L$3:L$604,'tuot-PVÄ'!$B$3:$B$604,$B11),)</f>
        <v>0</v>
      </c>
      <c r="J11" s="167"/>
      <c r="K11" s="167">
        <f>IFERROR(AVERAGEIFS('tuot-PVÄ'!M$3:M$604,'tuot-PVÄ'!$B$3:$B$604,$B11),)</f>
        <v>0</v>
      </c>
      <c r="L11" s="29"/>
      <c r="M11" s="12"/>
      <c r="N11" s="4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25">
      <c r="A12" s="43">
        <f t="shared" ref="A12:A75" si="0">IF($J$3&gt;0,$J$3+7*B12, )</f>
        <v>42482</v>
      </c>
      <c r="B12" s="23">
        <v>16</v>
      </c>
      <c r="C12" s="63">
        <f>IFERROR(SUMIFS('tuot-PVÄ'!C$3:C$604,'tuot-PVÄ'!$B$3:$B$604,$B12),)</f>
        <v>0</v>
      </c>
      <c r="D12" s="63">
        <f>IFERROR(SUMIFS('tuot-PVÄ'!D$3:D$604,'tuot-PVÄ'!$B$3:$B$604,$B12),"")</f>
        <v>0</v>
      </c>
      <c r="E12" s="63">
        <f>IFERROR(SUMIFS('tuot-PVÄ'!I$3:I$604,'tuot-PVÄ'!$B$3:$B$604,$B12),)</f>
        <v>0</v>
      </c>
      <c r="F12" s="63">
        <f>IFERROR(AVERAGEIFS('tuot-PVÄ'!J$3:J$604,'tuot-PVÄ'!$B$3:$B$604,$B12),)</f>
        <v>0</v>
      </c>
      <c r="G12" s="63">
        <f>IFERROR(AVERAGEIFS('tuot-PVÄ'!K$3:K$604,'tuot-PVÄ'!$B$3:$B$604,$B12),)</f>
        <v>0</v>
      </c>
      <c r="H12" s="167"/>
      <c r="I12" s="167">
        <f>IFERROR(AVERAGEIFS('tuot-PVÄ'!L$3:L$604,'tuot-PVÄ'!$B$3:$B$604,$B12),)</f>
        <v>0</v>
      </c>
      <c r="J12" s="167"/>
      <c r="K12" s="167">
        <f>IFERROR(AVERAGEIFS('tuot-PVÄ'!M$3:M$604,'tuot-PVÄ'!$B$3:$B$604,$B12),)</f>
        <v>0</v>
      </c>
      <c r="L12" s="30"/>
      <c r="M12" s="12"/>
      <c r="N12" s="4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25">
      <c r="A13" s="43">
        <f t="shared" si="0"/>
        <v>42489</v>
      </c>
      <c r="B13" s="23">
        <v>17</v>
      </c>
      <c r="C13" s="63">
        <f>IFERROR(SUMIFS('tuot-PVÄ'!C$3:C$604,'tuot-PVÄ'!$B$3:$B$604,$B13),)</f>
        <v>0</v>
      </c>
      <c r="D13" s="63">
        <f>IFERROR(SUMIFS('tuot-PVÄ'!D$3:D$604,'tuot-PVÄ'!$B$3:$B$604,$B13),"")</f>
        <v>0</v>
      </c>
      <c r="E13" s="63">
        <f>IFERROR(SUMIFS('tuot-PVÄ'!I$3:I$604,'tuot-PVÄ'!$B$3:$B$604,$B13),)</f>
        <v>0</v>
      </c>
      <c r="F13" s="63">
        <f>IFERROR(AVERAGEIFS('tuot-PVÄ'!J$3:J$604,'tuot-PVÄ'!$B$3:$B$604,$B13),)</f>
        <v>0</v>
      </c>
      <c r="G13" s="63">
        <f>IFERROR(AVERAGEIFS('tuot-PVÄ'!K$3:K$604,'tuot-PVÄ'!$B$3:$B$604,$B13),)</f>
        <v>0</v>
      </c>
      <c r="H13" s="167"/>
      <c r="I13" s="167">
        <f>IFERROR(AVERAGEIFS('tuot-PVÄ'!L$3:L$604,'tuot-PVÄ'!$B$3:$B$604,$B13),)</f>
        <v>0</v>
      </c>
      <c r="J13" s="167"/>
      <c r="K13" s="167">
        <f>IFERROR(AVERAGEIFS('tuot-PVÄ'!M$3:M$604,'tuot-PVÄ'!$B$3:$B$604,$B13),)</f>
        <v>0</v>
      </c>
      <c r="L13" s="30"/>
      <c r="M13" s="12"/>
      <c r="N13" s="4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43">
        <f t="shared" si="0"/>
        <v>42496</v>
      </c>
      <c r="B14" s="23">
        <v>18</v>
      </c>
      <c r="C14" s="63">
        <f>IFERROR(SUMIFS('tuot-PVÄ'!C$3:C$604,'tuot-PVÄ'!$B$3:$B$604,$B14),)</f>
        <v>0</v>
      </c>
      <c r="D14" s="63">
        <f>IFERROR(SUMIFS('tuot-PVÄ'!D$3:D$604,'tuot-PVÄ'!$B$3:$B$604,$B14),"")</f>
        <v>0</v>
      </c>
      <c r="E14" s="63">
        <f>IFERROR(SUMIFS('tuot-PVÄ'!I$3:I$604,'tuot-PVÄ'!$B$3:$B$604,$B14),)</f>
        <v>0</v>
      </c>
      <c r="F14" s="63">
        <f>IFERROR(AVERAGEIFS('tuot-PVÄ'!J$3:J$604,'tuot-PVÄ'!$B$3:$B$604,$B14),)</f>
        <v>0</v>
      </c>
      <c r="G14" s="63">
        <f>IFERROR(AVERAGEIFS('tuot-PVÄ'!K$3:K$604,'tuot-PVÄ'!$B$3:$B$604,$B14),)</f>
        <v>0</v>
      </c>
      <c r="H14" s="167"/>
      <c r="I14" s="167">
        <f>IFERROR(AVERAGEIFS('tuot-PVÄ'!L$3:L$604,'tuot-PVÄ'!$B$3:$B$604,$B14),)</f>
        <v>0</v>
      </c>
      <c r="J14" s="167"/>
      <c r="K14" s="167">
        <f>IFERROR(AVERAGEIFS('tuot-PVÄ'!M$3:M$604,'tuot-PVÄ'!$B$3:$B$604,$B14),)</f>
        <v>0</v>
      </c>
      <c r="L14" s="30"/>
      <c r="M14" s="12"/>
      <c r="N14" s="4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43">
        <f t="shared" si="0"/>
        <v>42503</v>
      </c>
      <c r="B15" s="23">
        <v>19</v>
      </c>
      <c r="C15" s="63">
        <f>IFERROR(SUMIFS('tuot-PVÄ'!C$3:C$604,'tuot-PVÄ'!$B$3:$B$604,$B15),)</f>
        <v>0</v>
      </c>
      <c r="D15" s="63">
        <f>IFERROR(SUMIFS('tuot-PVÄ'!D$3:D$604,'tuot-PVÄ'!$B$3:$B$604,$B15),"")</f>
        <v>0</v>
      </c>
      <c r="E15" s="63">
        <f>IFERROR(SUMIFS('tuot-PVÄ'!I$3:I$604,'tuot-PVÄ'!$B$3:$B$604,$B15),)</f>
        <v>0</v>
      </c>
      <c r="F15" s="63">
        <f>IFERROR(AVERAGEIFS('tuot-PVÄ'!J$3:J$604,'tuot-PVÄ'!$B$3:$B$604,$B15),)</f>
        <v>0</v>
      </c>
      <c r="G15" s="63">
        <f>IFERROR(AVERAGEIFS('tuot-PVÄ'!K$3:K$604,'tuot-PVÄ'!$B$3:$B$604,$B15),)</f>
        <v>0</v>
      </c>
      <c r="H15" s="167"/>
      <c r="I15" s="167">
        <f>IFERROR(AVERAGEIFS('tuot-PVÄ'!L$3:L$604,'tuot-PVÄ'!$B$3:$B$604,$B15),)</f>
        <v>0</v>
      </c>
      <c r="J15" s="167"/>
      <c r="K15" s="167">
        <f>IFERROR(AVERAGEIFS('tuot-PVÄ'!M$3:M$604,'tuot-PVÄ'!$B$3:$B$604,$B15),)</f>
        <v>0</v>
      </c>
      <c r="L15" s="30"/>
      <c r="M15" s="12"/>
      <c r="N15" s="4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A16" s="43">
        <f t="shared" si="0"/>
        <v>42510</v>
      </c>
      <c r="B16" s="23">
        <v>20</v>
      </c>
      <c r="C16" s="63">
        <f>IFERROR(SUMIFS('tuot-PVÄ'!C$3:C$604,'tuot-PVÄ'!$B$3:$B$604,$B16),)</f>
        <v>0</v>
      </c>
      <c r="D16" s="63">
        <f>IFERROR(SUMIFS('tuot-PVÄ'!D$3:D$604,'tuot-PVÄ'!$B$3:$B$604,$B16),"")</f>
        <v>0</v>
      </c>
      <c r="E16" s="63">
        <f>IFERROR(SUMIFS('tuot-PVÄ'!I$3:I$604,'tuot-PVÄ'!$B$3:$B$604,$B16),)</f>
        <v>0</v>
      </c>
      <c r="F16" s="63">
        <f>IFERROR(AVERAGEIFS('tuot-PVÄ'!J$3:J$604,'tuot-PVÄ'!$B$3:$B$604,$B16),)</f>
        <v>0</v>
      </c>
      <c r="G16" s="63">
        <f>IFERROR(AVERAGEIFS('tuot-PVÄ'!K$3:K$604,'tuot-PVÄ'!$B$3:$B$604,$B16),)</f>
        <v>0</v>
      </c>
      <c r="H16" s="167"/>
      <c r="I16" s="167">
        <f>IFERROR(AVERAGEIFS('tuot-PVÄ'!L$3:L$604,'tuot-PVÄ'!$B$3:$B$604,$B16),)</f>
        <v>0</v>
      </c>
      <c r="J16" s="167"/>
      <c r="K16" s="167">
        <f>IFERROR(AVERAGEIFS('tuot-PVÄ'!M$3:M$604,'tuot-PVÄ'!$B$3:$B$604,$B16),)</f>
        <v>0</v>
      </c>
      <c r="L16" s="30"/>
      <c r="M16" s="12"/>
      <c r="N16" s="4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25">
      <c r="A17" s="43">
        <f t="shared" si="0"/>
        <v>42517</v>
      </c>
      <c r="B17" s="23">
        <v>21</v>
      </c>
      <c r="C17" s="63">
        <f>IFERROR(SUMIFS('tuot-PVÄ'!C$3:C$604,'tuot-PVÄ'!$B$3:$B$604,$B17),)</f>
        <v>0</v>
      </c>
      <c r="D17" s="63">
        <f>IFERROR(SUMIFS('tuot-PVÄ'!D$3:D$604,'tuot-PVÄ'!$B$3:$B$604,$B17),"")</f>
        <v>0</v>
      </c>
      <c r="E17" s="63">
        <f>IFERROR(SUMIFS('tuot-PVÄ'!I$3:I$604,'tuot-PVÄ'!$B$3:$B$604,$B17),)</f>
        <v>0</v>
      </c>
      <c r="F17" s="63">
        <f>IFERROR(AVERAGEIFS('tuot-PVÄ'!J$3:J$604,'tuot-PVÄ'!$B$3:$B$604,$B17),)</f>
        <v>0</v>
      </c>
      <c r="G17" s="63">
        <f>IFERROR(AVERAGEIFS('tuot-PVÄ'!K$3:K$604,'tuot-PVÄ'!$B$3:$B$604,$B17),)</f>
        <v>0</v>
      </c>
      <c r="H17" s="167"/>
      <c r="I17" s="167">
        <f>IFERROR(AVERAGEIFS('tuot-PVÄ'!L$3:L$604,'tuot-PVÄ'!$B$3:$B$604,$B17),)</f>
        <v>0</v>
      </c>
      <c r="J17" s="167"/>
      <c r="K17" s="167">
        <f>IFERROR(AVERAGEIFS('tuot-PVÄ'!M$3:M$604,'tuot-PVÄ'!$B$3:$B$604,$B17),)</f>
        <v>0</v>
      </c>
      <c r="L17" s="30"/>
      <c r="M17" s="12"/>
      <c r="N17" s="42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25">
      <c r="A18" s="43">
        <f t="shared" si="0"/>
        <v>42524</v>
      </c>
      <c r="B18" s="23">
        <v>22</v>
      </c>
      <c r="C18" s="63">
        <f>IFERROR(SUMIFS('tuot-PVÄ'!C$3:C$604,'tuot-PVÄ'!$B$3:$B$604,$B18),)</f>
        <v>0</v>
      </c>
      <c r="D18" s="63">
        <f>IFERROR(SUMIFS('tuot-PVÄ'!D$3:D$604,'tuot-PVÄ'!$B$3:$B$604,$B18),"")</f>
        <v>0</v>
      </c>
      <c r="E18" s="63">
        <f>IFERROR(SUMIFS('tuot-PVÄ'!I$3:I$604,'tuot-PVÄ'!$B$3:$B$604,$B18),)</f>
        <v>0</v>
      </c>
      <c r="F18" s="63">
        <f>IFERROR(AVERAGEIFS('tuot-PVÄ'!J$3:J$604,'tuot-PVÄ'!$B$3:$B$604,$B18),)</f>
        <v>0</v>
      </c>
      <c r="G18" s="63">
        <f>IFERROR(AVERAGEIFS('tuot-PVÄ'!K$3:K$604,'tuot-PVÄ'!$B$3:$B$604,$B18),)</f>
        <v>0</v>
      </c>
      <c r="H18" s="167"/>
      <c r="I18" s="167">
        <f>IFERROR(AVERAGEIFS('tuot-PVÄ'!L$3:L$604,'tuot-PVÄ'!$B$3:$B$604,$B18),)</f>
        <v>0</v>
      </c>
      <c r="J18" s="167"/>
      <c r="K18" s="167">
        <f>IFERROR(AVERAGEIFS('tuot-PVÄ'!M$3:M$604,'tuot-PVÄ'!$B$3:$B$604,$B18),)</f>
        <v>0</v>
      </c>
      <c r="L18" s="30"/>
      <c r="M18" s="12"/>
      <c r="N18" s="4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25">
      <c r="A19" s="43">
        <f t="shared" si="0"/>
        <v>42531</v>
      </c>
      <c r="B19" s="23">
        <v>23</v>
      </c>
      <c r="C19" s="63">
        <f>IFERROR(SUMIFS('tuot-PVÄ'!C$3:C$604,'tuot-PVÄ'!$B$3:$B$604,$B19),)</f>
        <v>0</v>
      </c>
      <c r="D19" s="63">
        <f>IFERROR(SUMIFS('tuot-PVÄ'!D$3:D$604,'tuot-PVÄ'!$B$3:$B$604,$B19),"")</f>
        <v>0</v>
      </c>
      <c r="E19" s="63">
        <f>IFERROR(SUMIFS('tuot-PVÄ'!I$3:I$604,'tuot-PVÄ'!$B$3:$B$604,$B19),)</f>
        <v>0</v>
      </c>
      <c r="F19" s="63">
        <f>IFERROR(AVERAGEIFS('tuot-PVÄ'!J$3:J$604,'tuot-PVÄ'!$B$3:$B$604,$B19),)</f>
        <v>0</v>
      </c>
      <c r="G19" s="63">
        <f>IFERROR(AVERAGEIFS('tuot-PVÄ'!K$3:K$604,'tuot-PVÄ'!$B$3:$B$604,$B19),)</f>
        <v>0</v>
      </c>
      <c r="H19" s="167"/>
      <c r="I19" s="167">
        <f>IFERROR(AVERAGEIFS('tuot-PVÄ'!L$3:L$604,'tuot-PVÄ'!$B$3:$B$604,$B19),)</f>
        <v>0</v>
      </c>
      <c r="J19" s="167"/>
      <c r="K19" s="167">
        <f>IFERROR(AVERAGEIFS('tuot-PVÄ'!M$3:M$604,'tuot-PVÄ'!$B$3:$B$604,$B19),)</f>
        <v>0</v>
      </c>
      <c r="L19" s="30"/>
      <c r="M19" s="12"/>
      <c r="N19" s="4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25">
      <c r="A20" s="43">
        <f t="shared" si="0"/>
        <v>42538</v>
      </c>
      <c r="B20" s="23">
        <v>24</v>
      </c>
      <c r="C20" s="63">
        <f>IFERROR(SUMIFS('tuot-PVÄ'!C$3:C$604,'tuot-PVÄ'!$B$3:$B$604,$B20),)</f>
        <v>0</v>
      </c>
      <c r="D20" s="63">
        <f>IFERROR(SUMIFS('tuot-PVÄ'!D$3:D$604,'tuot-PVÄ'!$B$3:$B$604,$B20),"")</f>
        <v>0</v>
      </c>
      <c r="E20" s="63">
        <f>IFERROR(SUMIFS('tuot-PVÄ'!I$3:I$604,'tuot-PVÄ'!$B$3:$B$604,$B20),)</f>
        <v>0</v>
      </c>
      <c r="F20" s="63">
        <f>IFERROR(AVERAGEIFS('tuot-PVÄ'!J$3:J$604,'tuot-PVÄ'!$B$3:$B$604,$B20),)</f>
        <v>0</v>
      </c>
      <c r="G20" s="63">
        <f>IFERROR(AVERAGEIFS('tuot-PVÄ'!K$3:K$604,'tuot-PVÄ'!$B$3:$B$604,$B20),)</f>
        <v>0</v>
      </c>
      <c r="H20" s="167"/>
      <c r="I20" s="167">
        <f>IFERROR(AVERAGEIFS('tuot-PVÄ'!L$3:L$604,'tuot-PVÄ'!$B$3:$B$604,$B20),)</f>
        <v>0</v>
      </c>
      <c r="J20" s="167"/>
      <c r="K20" s="167">
        <f>IFERROR(AVERAGEIFS('tuot-PVÄ'!M$3:M$604,'tuot-PVÄ'!$B$3:$B$604,$B20),)</f>
        <v>0</v>
      </c>
      <c r="L20" s="30"/>
      <c r="M20" s="12"/>
      <c r="N20" s="4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5">
      <c r="A21" s="43">
        <f t="shared" si="0"/>
        <v>42545</v>
      </c>
      <c r="B21" s="23">
        <v>25</v>
      </c>
      <c r="C21" s="63">
        <f>IFERROR(SUMIFS('tuot-PVÄ'!C$3:C$604,'tuot-PVÄ'!$B$3:$B$604,$B21),)</f>
        <v>0</v>
      </c>
      <c r="D21" s="63">
        <f>IFERROR(SUMIFS('tuot-PVÄ'!D$3:D$604,'tuot-PVÄ'!$B$3:$B$604,$B21),"")</f>
        <v>0</v>
      </c>
      <c r="E21" s="63">
        <f>IFERROR(SUMIFS('tuot-PVÄ'!I$3:I$604,'tuot-PVÄ'!$B$3:$B$604,$B21),)</f>
        <v>0</v>
      </c>
      <c r="F21" s="63">
        <f>IFERROR(AVERAGEIFS('tuot-PVÄ'!J$3:J$604,'tuot-PVÄ'!$B$3:$B$604,$B21),)</f>
        <v>0</v>
      </c>
      <c r="G21" s="63">
        <f>IFERROR(AVERAGEIFS('tuot-PVÄ'!K$3:K$604,'tuot-PVÄ'!$B$3:$B$604,$B21),)</f>
        <v>0</v>
      </c>
      <c r="H21" s="167"/>
      <c r="I21" s="167">
        <f>IFERROR(AVERAGEIFS('tuot-PVÄ'!L$3:L$604,'tuot-PVÄ'!$B$3:$B$604,$B21),)</f>
        <v>0</v>
      </c>
      <c r="J21" s="167"/>
      <c r="K21" s="167">
        <f>IFERROR(AVERAGEIFS('tuot-PVÄ'!M$3:M$604,'tuot-PVÄ'!$B$3:$B$604,$B21),)</f>
        <v>0</v>
      </c>
      <c r="L21" s="30"/>
      <c r="M21" s="12"/>
      <c r="N21" s="4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43">
        <f t="shared" si="0"/>
        <v>42552</v>
      </c>
      <c r="B22" s="23">
        <v>26</v>
      </c>
      <c r="C22" s="63">
        <f>IFERROR(SUMIFS('tuot-PVÄ'!C$3:C$604,'tuot-PVÄ'!$B$3:$B$604,$B22),)</f>
        <v>0</v>
      </c>
      <c r="D22" s="63">
        <f>IFERROR(SUMIFS('tuot-PVÄ'!D$3:D$604,'tuot-PVÄ'!$B$3:$B$604,$B22),)</f>
        <v>0</v>
      </c>
      <c r="E22" s="63">
        <f>IFERROR(SUMIFS('tuot-PVÄ'!I$3:I$604,'tuot-PVÄ'!$B$3:$B$604,$B22),)</f>
        <v>0</v>
      </c>
      <c r="F22" s="63">
        <f>IFERROR(AVERAGEIFS('tuot-PVÄ'!J$3:J$604,'tuot-PVÄ'!$B$3:$B$604,$B22),)</f>
        <v>0</v>
      </c>
      <c r="G22" s="63">
        <f>IFERROR(AVERAGEIFS('tuot-PVÄ'!K$3:K$604,'tuot-PVÄ'!$B$3:$B$604,$B22),)</f>
        <v>0</v>
      </c>
      <c r="H22" s="167"/>
      <c r="I22" s="167">
        <f>IFERROR(AVERAGEIFS('tuot-PVÄ'!L$3:L$604,'tuot-PVÄ'!$B$3:$B$604,$B22),)</f>
        <v>0</v>
      </c>
      <c r="J22" s="167"/>
      <c r="K22" s="167">
        <f>IFERROR(AVERAGEIFS('tuot-PVÄ'!M$3:M$604,'tuot-PVÄ'!$B$3:$B$604,$B22),)</f>
        <v>0</v>
      </c>
      <c r="L22" s="30"/>
      <c r="M22" s="12"/>
      <c r="N22" s="4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25">
      <c r="A23" s="43">
        <f t="shared" si="0"/>
        <v>42559</v>
      </c>
      <c r="B23" s="23">
        <v>27</v>
      </c>
      <c r="C23" s="63">
        <f>IFERROR(SUMIFS('tuot-PVÄ'!C$3:C$604,'tuot-PVÄ'!$B$3:$B$604,$B23),)</f>
        <v>0</v>
      </c>
      <c r="D23" s="63">
        <f>IFERROR(SUMIFS('tuot-PVÄ'!D$3:D$604,'tuot-PVÄ'!$B$3:$B$604,$B23),)</f>
        <v>0</v>
      </c>
      <c r="E23" s="63">
        <f>IFERROR(SUMIFS('tuot-PVÄ'!I$3:I$604,'tuot-PVÄ'!$B$3:$B$604,$B23),)</f>
        <v>0</v>
      </c>
      <c r="F23" s="63">
        <f>IFERROR(AVERAGEIFS('tuot-PVÄ'!J$3:J$604,'tuot-PVÄ'!$B$3:$B$604,$B23),)</f>
        <v>0</v>
      </c>
      <c r="G23" s="63">
        <f>IFERROR(AVERAGEIFS('tuot-PVÄ'!K$3:K$604,'tuot-PVÄ'!$B$3:$B$604,$B23),)</f>
        <v>0</v>
      </c>
      <c r="H23" s="167"/>
      <c r="I23" s="167">
        <f>IFERROR(AVERAGEIFS('tuot-PVÄ'!L$3:L$604,'tuot-PVÄ'!$B$3:$B$604,$B23),)</f>
        <v>0</v>
      </c>
      <c r="J23" s="167"/>
      <c r="K23" s="167">
        <f>IFERROR(AVERAGEIFS('tuot-PVÄ'!M$3:M$604,'tuot-PVÄ'!$B$3:$B$604,$B23),)</f>
        <v>0</v>
      </c>
      <c r="L23" s="30"/>
      <c r="M23" s="12"/>
      <c r="N23" s="4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25">
      <c r="A24" s="43">
        <f t="shared" si="0"/>
        <v>42566</v>
      </c>
      <c r="B24" s="23">
        <v>28</v>
      </c>
      <c r="C24" s="63">
        <f>IFERROR(SUMIFS('tuot-PVÄ'!C$3:C$604,'tuot-PVÄ'!$B$3:$B$604,$B24),)</f>
        <v>0</v>
      </c>
      <c r="D24" s="63">
        <f>IFERROR(SUMIFS('tuot-PVÄ'!D$3:D$604,'tuot-PVÄ'!$B$3:$B$604,$B24),)</f>
        <v>0</v>
      </c>
      <c r="E24" s="63">
        <f>IFERROR(SUMIFS('tuot-PVÄ'!I$3:I$604,'tuot-PVÄ'!$B$3:$B$604,$B24),)</f>
        <v>0</v>
      </c>
      <c r="F24" s="63">
        <f>IFERROR(AVERAGEIFS('tuot-PVÄ'!J$3:J$604,'tuot-PVÄ'!$B$3:$B$604,$B24),)</f>
        <v>0</v>
      </c>
      <c r="G24" s="63">
        <v>0</v>
      </c>
      <c r="H24" s="167"/>
      <c r="I24" s="167">
        <f>IFERROR(AVERAGEIFS('tuot-PVÄ'!L$3:L$604,'tuot-PVÄ'!$B$3:$B$604,$B24),)</f>
        <v>0</v>
      </c>
      <c r="J24" s="167"/>
      <c r="K24" s="167">
        <f>IFERROR(AVERAGEIFS('tuot-PVÄ'!M$3:M$604,'tuot-PVÄ'!$B$3:$B$604,$B24),)</f>
        <v>0</v>
      </c>
      <c r="L24" s="30"/>
      <c r="M24" s="12"/>
      <c r="N24" s="42"/>
      <c r="O24" s="12"/>
      <c r="P24" s="12"/>
      <c r="Q24" s="12"/>
      <c r="R24" s="12"/>
      <c r="S24" s="12"/>
      <c r="T24" s="12"/>
      <c r="U24" s="12"/>
      <c r="V24" s="12"/>
      <c r="W24" s="12"/>
    </row>
    <row r="25" spans="1:23" x14ac:dyDescent="0.25">
      <c r="A25" s="43">
        <f t="shared" si="0"/>
        <v>42573</v>
      </c>
      <c r="B25" s="23">
        <v>29</v>
      </c>
      <c r="C25" s="63">
        <f>IFERROR(SUMIFS('tuot-PVÄ'!C$3:C$604,'tuot-PVÄ'!$B$3:$B$604,$B25),)</f>
        <v>0</v>
      </c>
      <c r="D25" s="63">
        <f>IFERROR(SUMIFS('tuot-PVÄ'!D$3:D$604,'tuot-PVÄ'!$B$3:$B$604,$B25),)</f>
        <v>0</v>
      </c>
      <c r="E25" s="63">
        <f>IFERROR(SUMIFS('tuot-PVÄ'!I$3:I$604,'tuot-PVÄ'!$B$3:$B$604,$B25),)</f>
        <v>0</v>
      </c>
      <c r="F25" s="63">
        <f>IFERROR(AVERAGEIFS('tuot-PVÄ'!J$3:J$604,'tuot-PVÄ'!$B$3:$B$604,$B25),)</f>
        <v>0</v>
      </c>
      <c r="G25" s="63">
        <f>IFERROR(AVERAGEIFS('tuot-PVÄ'!K$3:K$604,'tuot-PVÄ'!$B$3:$B$604,$B25),)</f>
        <v>0</v>
      </c>
      <c r="H25" s="167"/>
      <c r="I25" s="167">
        <f>IFERROR(AVERAGEIFS('tuot-PVÄ'!L$3:L$604,'tuot-PVÄ'!$B$3:$B$604,$B25),)</f>
        <v>0</v>
      </c>
      <c r="J25" s="167"/>
      <c r="K25" s="167">
        <f>IFERROR(AVERAGEIFS('tuot-PVÄ'!M$3:M$604,'tuot-PVÄ'!$B$3:$B$604,$B25),)</f>
        <v>0</v>
      </c>
      <c r="L25" s="30"/>
      <c r="M25" s="12"/>
      <c r="N25" s="4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25">
      <c r="A26" s="43">
        <f t="shared" si="0"/>
        <v>42580</v>
      </c>
      <c r="B26" s="23">
        <v>30</v>
      </c>
      <c r="C26" s="63">
        <f>IFERROR(SUMIFS('tuot-PVÄ'!C$3:C$604,'tuot-PVÄ'!$B$3:$B$604,$B26),)</f>
        <v>0</v>
      </c>
      <c r="D26" s="63">
        <f>IFERROR(SUMIFS('tuot-PVÄ'!D$3:D$604,'tuot-PVÄ'!$B$3:$B$604,$B26),)</f>
        <v>0</v>
      </c>
      <c r="E26" s="63">
        <f>IFERROR(SUMIFS('tuot-PVÄ'!I$3:I$604,'tuot-PVÄ'!$B$3:$B$604,$B26),)</f>
        <v>0</v>
      </c>
      <c r="F26" s="63">
        <f>IFERROR(AVERAGEIFS('tuot-PVÄ'!J$3:J$604,'tuot-PVÄ'!$B$3:$B$604,$B26),)</f>
        <v>0</v>
      </c>
      <c r="G26" s="63">
        <f>IFERROR(AVERAGEIFS('tuot-PVÄ'!K$3:K$604,'tuot-PVÄ'!$B$3:$B$604,$B26),)</f>
        <v>0</v>
      </c>
      <c r="H26" s="167"/>
      <c r="I26" s="167">
        <f>IFERROR(AVERAGEIFS('tuot-PVÄ'!L$3:L$604,'tuot-PVÄ'!$B$3:$B$604,$B26),)</f>
        <v>0</v>
      </c>
      <c r="J26" s="167"/>
      <c r="K26" s="167">
        <f>IFERROR(AVERAGEIFS('tuot-PVÄ'!M$3:M$604,'tuot-PVÄ'!$B$3:$B$604,$B26),)</f>
        <v>0</v>
      </c>
      <c r="L26" s="30"/>
      <c r="M26" s="12"/>
      <c r="N26" s="4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43">
        <f t="shared" si="0"/>
        <v>42587</v>
      </c>
      <c r="B27" s="23">
        <v>31</v>
      </c>
      <c r="C27" s="63">
        <f>IFERROR(SUMIFS('tuot-PVÄ'!C$3:C$604,'tuot-PVÄ'!$B$3:$B$604,$B27),)</f>
        <v>0</v>
      </c>
      <c r="D27" s="63">
        <f>IFERROR(SUMIFS('tuot-PVÄ'!D$3:D$604,'tuot-PVÄ'!$B$3:$B$604,$B27),)</f>
        <v>0</v>
      </c>
      <c r="E27" s="63">
        <f>IFERROR(SUMIFS('tuot-PVÄ'!I$3:I$604,'tuot-PVÄ'!$B$3:$B$604,$B27),)</f>
        <v>0</v>
      </c>
      <c r="F27" s="63">
        <f>IFERROR(AVERAGEIFS('tuot-PVÄ'!J$3:J$604,'tuot-PVÄ'!$B$3:$B$604,$B27),)</f>
        <v>0</v>
      </c>
      <c r="G27" s="63">
        <f>IFERROR(AVERAGEIFS('tuot-PVÄ'!K$3:K$604,'tuot-PVÄ'!$B$3:$B$604,$B27),)</f>
        <v>0</v>
      </c>
      <c r="H27" s="167"/>
      <c r="I27" s="167">
        <f>IFERROR(AVERAGEIFS('tuot-PVÄ'!L$3:L$604,'tuot-PVÄ'!$B$3:$B$604,$B27),)</f>
        <v>0</v>
      </c>
      <c r="J27" s="167"/>
      <c r="K27" s="167">
        <f>IFERROR(AVERAGEIFS('tuot-PVÄ'!M$3:M$604,'tuot-PVÄ'!$B$3:$B$604,$B27),)</f>
        <v>0</v>
      </c>
      <c r="L27" s="30"/>
      <c r="M27" s="12"/>
      <c r="N27" s="42"/>
      <c r="O27" s="12"/>
      <c r="P27" s="12"/>
      <c r="Q27" s="12"/>
      <c r="R27" s="12"/>
      <c r="S27" s="12"/>
      <c r="T27" s="12"/>
      <c r="U27" s="12"/>
      <c r="V27" s="12"/>
      <c r="W27" s="12"/>
    </row>
    <row r="28" spans="1:23" x14ac:dyDescent="0.25">
      <c r="A28" s="43">
        <f t="shared" si="0"/>
        <v>42594</v>
      </c>
      <c r="B28" s="23">
        <v>32</v>
      </c>
      <c r="C28" s="63">
        <f>IFERROR(SUMIFS('tuot-PVÄ'!C$3:C$604,'tuot-PVÄ'!$B$3:$B$604,$B28),)</f>
        <v>0</v>
      </c>
      <c r="D28" s="63">
        <f>IFERROR(SUMIFS('tuot-PVÄ'!D$3:D$604,'tuot-PVÄ'!$B$3:$B$604,$B28),)</f>
        <v>0</v>
      </c>
      <c r="E28" s="63">
        <f>IFERROR(SUMIFS('tuot-PVÄ'!I$3:I$604,'tuot-PVÄ'!$B$3:$B$604,$B28),)</f>
        <v>0</v>
      </c>
      <c r="F28" s="63">
        <f>IFERROR(AVERAGEIFS('tuot-PVÄ'!J$3:J$604,'tuot-PVÄ'!$B$3:$B$604,$B28),)</f>
        <v>0</v>
      </c>
      <c r="G28" s="63">
        <f>IFERROR(AVERAGEIFS('tuot-PVÄ'!K$3:K$604,'tuot-PVÄ'!$B$3:$B$604,$B28),)</f>
        <v>0</v>
      </c>
      <c r="H28" s="167"/>
      <c r="I28" s="167">
        <f>IFERROR(AVERAGEIFS('tuot-PVÄ'!L$3:L$604,'tuot-PVÄ'!$B$3:$B$604,$B28),)</f>
        <v>0</v>
      </c>
      <c r="J28" s="167"/>
      <c r="K28" s="167">
        <f>IFERROR(AVERAGEIFS('tuot-PVÄ'!M$3:M$604,'tuot-PVÄ'!$B$3:$B$604,$B28),)</f>
        <v>0</v>
      </c>
      <c r="L28" s="30"/>
      <c r="M28" s="12"/>
      <c r="N28" s="42"/>
      <c r="O28" s="12"/>
      <c r="P28" s="12"/>
      <c r="Q28" s="12"/>
      <c r="R28" s="12"/>
      <c r="S28" s="12"/>
      <c r="T28" s="12"/>
      <c r="U28" s="12"/>
      <c r="V28" s="12"/>
      <c r="W28" s="12"/>
    </row>
    <row r="29" spans="1:23" x14ac:dyDescent="0.25">
      <c r="A29" s="43">
        <f t="shared" si="0"/>
        <v>42601</v>
      </c>
      <c r="B29" s="23">
        <v>33</v>
      </c>
      <c r="C29" s="63">
        <f>IFERROR(SUMIFS('tuot-PVÄ'!C$3:C$604,'tuot-PVÄ'!$B$3:$B$604,$B29),)</f>
        <v>0</v>
      </c>
      <c r="D29" s="63">
        <f>IFERROR(SUMIFS('tuot-PVÄ'!D$3:D$604,'tuot-PVÄ'!$B$3:$B$604,$B29),)</f>
        <v>0</v>
      </c>
      <c r="E29" s="63">
        <f>IFERROR(SUMIFS('tuot-PVÄ'!I$3:I$604,'tuot-PVÄ'!$B$3:$B$604,$B29),)</f>
        <v>0</v>
      </c>
      <c r="F29" s="63">
        <f>IFERROR(AVERAGEIFS('tuot-PVÄ'!J$3:J$604,'tuot-PVÄ'!$B$3:$B$604,$B29),)</f>
        <v>0</v>
      </c>
      <c r="G29" s="63">
        <f>IFERROR(AVERAGEIFS('tuot-PVÄ'!K$3:K$604,'tuot-PVÄ'!$B$3:$B$604,$B29),)</f>
        <v>0</v>
      </c>
      <c r="H29" s="167"/>
      <c r="I29" s="167">
        <f>IFERROR(AVERAGEIFS('tuot-PVÄ'!L$3:L$604,'tuot-PVÄ'!$B$3:$B$604,$B29),)</f>
        <v>0</v>
      </c>
      <c r="J29" s="167"/>
      <c r="K29" s="167">
        <f>IFERROR(AVERAGEIFS('tuot-PVÄ'!M$3:M$604,'tuot-PVÄ'!$B$3:$B$604,$B29),)</f>
        <v>0</v>
      </c>
      <c r="L29" s="30"/>
      <c r="M29" s="12"/>
      <c r="N29" s="42"/>
      <c r="O29" s="12"/>
      <c r="P29" s="12"/>
      <c r="Q29" s="12"/>
      <c r="R29" s="12"/>
      <c r="S29" s="12"/>
      <c r="T29" s="12"/>
      <c r="U29" s="12"/>
      <c r="V29" s="12"/>
      <c r="W29" s="12"/>
    </row>
    <row r="30" spans="1:23" x14ac:dyDescent="0.25">
      <c r="A30" s="43">
        <f t="shared" si="0"/>
        <v>42608</v>
      </c>
      <c r="B30" s="23">
        <v>34</v>
      </c>
      <c r="C30" s="63">
        <f>IFERROR(SUMIFS('tuot-PVÄ'!C$3:C$604,'tuot-PVÄ'!$B$3:$B$604,$B30),)</f>
        <v>0</v>
      </c>
      <c r="D30" s="63">
        <f>IFERROR(SUMIFS('tuot-PVÄ'!D$3:D$604,'tuot-PVÄ'!$B$3:$B$604,$B30),)</f>
        <v>0</v>
      </c>
      <c r="E30" s="63">
        <f>IFERROR(SUMIFS('tuot-PVÄ'!I$3:I$604,'tuot-PVÄ'!$B$3:$B$604,$B30),)</f>
        <v>0</v>
      </c>
      <c r="F30" s="63">
        <f>IFERROR(AVERAGEIFS('tuot-PVÄ'!J$3:J$604,'tuot-PVÄ'!$B$3:$B$604,$B30),)</f>
        <v>0</v>
      </c>
      <c r="G30" s="63">
        <f>IFERROR(AVERAGEIFS('tuot-PVÄ'!K$3:K$604,'tuot-PVÄ'!$B$3:$B$604,$B30),)</f>
        <v>0</v>
      </c>
      <c r="H30" s="167"/>
      <c r="I30" s="167">
        <f>IFERROR(AVERAGEIFS('tuot-PVÄ'!L$3:L$604,'tuot-PVÄ'!$B$3:$B$604,$B30),)</f>
        <v>0</v>
      </c>
      <c r="J30" s="167"/>
      <c r="K30" s="167">
        <f>IFERROR(AVERAGEIFS('tuot-PVÄ'!M$3:M$604,'tuot-PVÄ'!$B$3:$B$604,$B30),)</f>
        <v>0</v>
      </c>
      <c r="L30" s="30"/>
      <c r="M30" s="12"/>
      <c r="N30" s="42"/>
      <c r="O30" s="12"/>
      <c r="P30" s="12"/>
      <c r="Q30" s="12"/>
      <c r="R30" s="12"/>
      <c r="S30" s="12"/>
      <c r="T30" s="12"/>
      <c r="U30" s="12"/>
      <c r="V30" s="12"/>
      <c r="W30" s="12"/>
    </row>
    <row r="31" spans="1:23" x14ac:dyDescent="0.25">
      <c r="A31" s="43">
        <f t="shared" si="0"/>
        <v>42615</v>
      </c>
      <c r="B31" s="23">
        <v>35</v>
      </c>
      <c r="C31" s="63">
        <f>IFERROR(SUMIFS('tuot-PVÄ'!C$3:C$604,'tuot-PVÄ'!$B$3:$B$604,$B31),)</f>
        <v>0</v>
      </c>
      <c r="D31" s="63">
        <f>IFERROR(SUMIFS('tuot-PVÄ'!D$3:D$604,'tuot-PVÄ'!$B$3:$B$604,$B31),)</f>
        <v>0</v>
      </c>
      <c r="E31" s="63">
        <f>IFERROR(SUMIFS('tuot-PVÄ'!I$3:I$604,'tuot-PVÄ'!$B$3:$B$604,$B31),)</f>
        <v>0</v>
      </c>
      <c r="F31" s="63">
        <f>IFERROR(AVERAGEIFS('tuot-PVÄ'!J$3:J$604,'tuot-PVÄ'!$B$3:$B$604,$B31),)</f>
        <v>0</v>
      </c>
      <c r="G31" s="63">
        <f>IFERROR(AVERAGEIFS('tuot-PVÄ'!K$3:K$604,'tuot-PVÄ'!$B$3:$B$604,$B31),)</f>
        <v>0</v>
      </c>
      <c r="H31" s="167"/>
      <c r="I31" s="167">
        <f>IFERROR(AVERAGEIFS('tuot-PVÄ'!L$3:L$604,'tuot-PVÄ'!$B$3:$B$604,$B31),)</f>
        <v>0</v>
      </c>
      <c r="J31" s="167"/>
      <c r="K31" s="167">
        <f>IFERROR(AVERAGEIFS('tuot-PVÄ'!M$3:M$604,'tuot-PVÄ'!$B$3:$B$604,$B31),)</f>
        <v>0</v>
      </c>
      <c r="L31" s="30"/>
      <c r="M31" s="12"/>
      <c r="N31" s="42"/>
      <c r="O31" s="12"/>
      <c r="P31" s="12"/>
      <c r="Q31" s="12"/>
      <c r="R31" s="12"/>
      <c r="S31" s="12"/>
      <c r="T31" s="12"/>
      <c r="U31" s="12"/>
      <c r="V31" s="12"/>
      <c r="W31" s="12"/>
    </row>
    <row r="32" spans="1:23" x14ac:dyDescent="0.25">
      <c r="A32" s="43">
        <f t="shared" si="0"/>
        <v>42622</v>
      </c>
      <c r="B32" s="23">
        <v>36</v>
      </c>
      <c r="C32" s="63">
        <f>IFERROR(SUMIFS('tuot-PVÄ'!C$3:C$604,'tuot-PVÄ'!$B$3:$B$604,$B32),)</f>
        <v>0</v>
      </c>
      <c r="D32" s="63">
        <f>IFERROR(SUMIFS('tuot-PVÄ'!D$3:D$604,'tuot-PVÄ'!$B$3:$B$604,$B32),)</f>
        <v>0</v>
      </c>
      <c r="E32" s="63">
        <f>IFERROR(SUMIFS('tuot-PVÄ'!I$3:I$604,'tuot-PVÄ'!$B$3:$B$604,$B32),)</f>
        <v>0</v>
      </c>
      <c r="F32" s="63">
        <f>IFERROR(AVERAGEIFS('tuot-PVÄ'!J$3:J$604,'tuot-PVÄ'!$B$3:$B$604,$B32),)</f>
        <v>0</v>
      </c>
      <c r="G32" s="63">
        <f>IFERROR(AVERAGEIFS('tuot-PVÄ'!K$3:K$604,'tuot-PVÄ'!$B$3:$B$604,$B32),)</f>
        <v>0</v>
      </c>
      <c r="H32" s="167"/>
      <c r="I32" s="167">
        <f>IFERROR(AVERAGEIFS('tuot-PVÄ'!L$3:L$604,'tuot-PVÄ'!$B$3:$B$604,$B32),)</f>
        <v>0</v>
      </c>
      <c r="J32" s="167"/>
      <c r="K32" s="167">
        <f>IFERROR(AVERAGEIFS('tuot-PVÄ'!M$3:M$604,'tuot-PVÄ'!$B$3:$B$604,$B32),)</f>
        <v>0</v>
      </c>
      <c r="L32" s="30"/>
      <c r="M32" s="12"/>
      <c r="N32" s="42"/>
      <c r="O32" s="12"/>
      <c r="P32" s="12"/>
      <c r="Q32" s="12"/>
      <c r="R32" s="12"/>
      <c r="S32" s="12"/>
      <c r="T32" s="12"/>
      <c r="U32" s="12"/>
      <c r="V32" s="12"/>
      <c r="W32" s="12"/>
    </row>
    <row r="33" spans="1:23" x14ac:dyDescent="0.25">
      <c r="A33" s="43">
        <f t="shared" si="0"/>
        <v>42629</v>
      </c>
      <c r="B33" s="23">
        <v>37</v>
      </c>
      <c r="C33" s="63">
        <f>IFERROR(SUMIFS('tuot-PVÄ'!C$3:C$604,'tuot-PVÄ'!$B$3:$B$604,$B33),)</f>
        <v>0</v>
      </c>
      <c r="D33" s="63">
        <f>IFERROR(SUMIFS('tuot-PVÄ'!D$3:D$604,'tuot-PVÄ'!$B$3:$B$604,$B33),)</f>
        <v>0</v>
      </c>
      <c r="E33" s="63">
        <f>IFERROR(SUMIFS('tuot-PVÄ'!I$3:I$604,'tuot-PVÄ'!$B$3:$B$604,$B33),)</f>
        <v>0</v>
      </c>
      <c r="F33" s="63">
        <f>IFERROR(AVERAGEIFS('tuot-PVÄ'!J$3:J$604,'tuot-PVÄ'!$B$3:$B$604,$B33),)</f>
        <v>0</v>
      </c>
      <c r="G33" s="63">
        <f>IFERROR(AVERAGEIFS('tuot-PVÄ'!K$3:K$604,'tuot-PVÄ'!$B$3:$B$604,$B33),)</f>
        <v>0</v>
      </c>
      <c r="H33" s="167"/>
      <c r="I33" s="167">
        <f>IFERROR(AVERAGEIFS('tuot-PVÄ'!L$3:L$604,'tuot-PVÄ'!$B$3:$B$604,$B33),)</f>
        <v>0</v>
      </c>
      <c r="J33" s="167"/>
      <c r="K33" s="167">
        <f>IFERROR(AVERAGEIFS('tuot-PVÄ'!M$3:M$604,'tuot-PVÄ'!$B$3:$B$604,$B33),)</f>
        <v>0</v>
      </c>
      <c r="L33" s="30"/>
      <c r="M33" s="12"/>
      <c r="N33" s="42"/>
      <c r="O33" s="12"/>
      <c r="P33" s="12"/>
      <c r="Q33" s="12"/>
      <c r="R33" s="12"/>
      <c r="S33" s="12"/>
      <c r="T33" s="12"/>
      <c r="U33" s="12"/>
      <c r="V33" s="12"/>
      <c r="W33" s="12"/>
    </row>
    <row r="34" spans="1:23" x14ac:dyDescent="0.25">
      <c r="A34" s="43">
        <f t="shared" si="0"/>
        <v>42636</v>
      </c>
      <c r="B34" s="23">
        <v>38</v>
      </c>
      <c r="C34" s="63">
        <f>IFERROR(SUMIFS('tuot-PVÄ'!C$3:C$604,'tuot-PVÄ'!$B$3:$B$604,$B34),)</f>
        <v>0</v>
      </c>
      <c r="D34" s="63">
        <f>IFERROR(SUMIFS('tuot-PVÄ'!D$3:D$604,'tuot-PVÄ'!$B$3:$B$604,$B34),)</f>
        <v>0</v>
      </c>
      <c r="E34" s="63">
        <f>IFERROR(SUMIFS('tuot-PVÄ'!I$3:I$604,'tuot-PVÄ'!$B$3:$B$604,$B34),)</f>
        <v>0</v>
      </c>
      <c r="F34" s="63">
        <f>IFERROR(AVERAGEIFS('tuot-PVÄ'!J$3:J$604,'tuot-PVÄ'!$B$3:$B$604,$B34),)</f>
        <v>0</v>
      </c>
      <c r="G34" s="63">
        <f>IFERROR(AVERAGEIFS('tuot-PVÄ'!K$3:K$604,'tuot-PVÄ'!$B$3:$B$604,$B34),)</f>
        <v>0</v>
      </c>
      <c r="H34" s="167"/>
      <c r="I34" s="167">
        <f>IFERROR(AVERAGEIFS('tuot-PVÄ'!L$3:L$604,'tuot-PVÄ'!$B$3:$B$604,$B34),)</f>
        <v>0</v>
      </c>
      <c r="J34" s="167"/>
      <c r="K34" s="167">
        <f>IFERROR(AVERAGEIFS('tuot-PVÄ'!M$3:M$604,'tuot-PVÄ'!$B$3:$B$604,$B34),)</f>
        <v>0</v>
      </c>
      <c r="L34" s="30"/>
      <c r="M34" s="12"/>
      <c r="N34" s="4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5">
      <c r="A35" s="43">
        <f t="shared" si="0"/>
        <v>42643</v>
      </c>
      <c r="B35" s="23">
        <v>39</v>
      </c>
      <c r="C35" s="63">
        <f>IFERROR(SUMIFS('tuot-PVÄ'!C$3:C$604,'tuot-PVÄ'!$B$3:$B$604,$B35),)</f>
        <v>0</v>
      </c>
      <c r="D35" s="63">
        <f>IFERROR(SUMIFS('tuot-PVÄ'!D$3:D$604,'tuot-PVÄ'!$B$3:$B$604,$B35),)</f>
        <v>0</v>
      </c>
      <c r="E35" s="63">
        <f>IFERROR(SUMIFS('tuot-PVÄ'!I$3:I$604,'tuot-PVÄ'!$B$3:$B$604,$B35),)</f>
        <v>0</v>
      </c>
      <c r="F35" s="63">
        <f>IFERROR(AVERAGEIFS('tuot-PVÄ'!J$3:J$604,'tuot-PVÄ'!$B$3:$B$604,$B35),)</f>
        <v>0</v>
      </c>
      <c r="G35" s="63">
        <f>IFERROR(AVERAGEIFS('tuot-PVÄ'!K$3:K$604,'tuot-PVÄ'!$B$3:$B$604,$B35),)</f>
        <v>0</v>
      </c>
      <c r="H35" s="167"/>
      <c r="I35" s="167">
        <f>IFERROR(AVERAGEIFS('tuot-PVÄ'!L$3:L$604,'tuot-PVÄ'!$B$3:$B$604,$B35),)</f>
        <v>0</v>
      </c>
      <c r="J35" s="167"/>
      <c r="K35" s="167">
        <f>IFERROR(AVERAGEIFS('tuot-PVÄ'!M$3:M$604,'tuot-PVÄ'!$B$3:$B$604,$B35),)</f>
        <v>0</v>
      </c>
      <c r="L35" s="30"/>
      <c r="M35" s="12"/>
      <c r="N35" s="4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25">
      <c r="A36" s="43">
        <f t="shared" si="0"/>
        <v>42650</v>
      </c>
      <c r="B36" s="23">
        <v>40</v>
      </c>
      <c r="C36" s="63">
        <f>IFERROR(SUMIFS('tuot-PVÄ'!C$3:C$604,'tuot-PVÄ'!$B$3:$B$604,$B36),)</f>
        <v>0</v>
      </c>
      <c r="D36" s="63">
        <f>IFERROR(SUMIFS('tuot-PVÄ'!D$3:D$604,'tuot-PVÄ'!$B$3:$B$604,$B36),)</f>
        <v>0</v>
      </c>
      <c r="E36" s="63">
        <f>IFERROR(SUMIFS('tuot-PVÄ'!I$3:I$604,'tuot-PVÄ'!$B$3:$B$604,$B36),)</f>
        <v>0</v>
      </c>
      <c r="F36" s="63">
        <f>IFERROR(AVERAGEIFS('tuot-PVÄ'!J$3:J$604,'tuot-PVÄ'!$B$3:$B$604,$B36),)</f>
        <v>0</v>
      </c>
      <c r="G36" s="63">
        <f>IFERROR(AVERAGEIFS('tuot-PVÄ'!K$3:K$604,'tuot-PVÄ'!$B$3:$B$604,$B36),)</f>
        <v>0</v>
      </c>
      <c r="H36" s="167"/>
      <c r="I36" s="167">
        <f>IFERROR(AVERAGEIFS('tuot-PVÄ'!L$3:L$604,'tuot-PVÄ'!$B$3:$B$604,$B36),)</f>
        <v>0</v>
      </c>
      <c r="J36" s="167"/>
      <c r="K36" s="167">
        <f>IFERROR(AVERAGEIFS('tuot-PVÄ'!M$3:M$604,'tuot-PVÄ'!$B$3:$B$604,$B36),)</f>
        <v>0</v>
      </c>
      <c r="L36" s="30"/>
      <c r="M36" s="12"/>
      <c r="N36" s="4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5">
      <c r="A37" s="43">
        <f t="shared" si="0"/>
        <v>42657</v>
      </c>
      <c r="B37" s="23">
        <v>41</v>
      </c>
      <c r="C37" s="63">
        <f>IFERROR(SUMIFS('tuot-PVÄ'!C$3:C$604,'tuot-PVÄ'!$B$3:$B$604,$B37),)</f>
        <v>0</v>
      </c>
      <c r="D37" s="63">
        <f>IFERROR(SUMIFS('tuot-PVÄ'!D$3:D$604,'tuot-PVÄ'!$B$3:$B$604,$B37),)</f>
        <v>0</v>
      </c>
      <c r="E37" s="63">
        <f>IFERROR(SUMIFS('tuot-PVÄ'!I$3:I$604,'tuot-PVÄ'!$B$3:$B$604,$B37),)</f>
        <v>0</v>
      </c>
      <c r="F37" s="63">
        <f>IFERROR(AVERAGEIFS('tuot-PVÄ'!J$3:J$604,'tuot-PVÄ'!$B$3:$B$604,$B37),)</f>
        <v>0</v>
      </c>
      <c r="G37" s="63">
        <f>IFERROR(AVERAGEIFS('tuot-PVÄ'!K$3:K$604,'tuot-PVÄ'!$B$3:$B$604,$B37),)</f>
        <v>0</v>
      </c>
      <c r="H37" s="167"/>
      <c r="I37" s="167">
        <f>IFERROR(AVERAGEIFS('tuot-PVÄ'!L$3:L$604,'tuot-PVÄ'!$B$3:$B$604,$B37),)</f>
        <v>0</v>
      </c>
      <c r="J37" s="167"/>
      <c r="K37" s="167">
        <f>IFERROR(AVERAGEIFS('tuot-PVÄ'!M$3:M$604,'tuot-PVÄ'!$B$3:$B$604,$B37),)</f>
        <v>0</v>
      </c>
      <c r="L37" s="30"/>
      <c r="M37" s="12"/>
      <c r="N37" s="42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25">
      <c r="A38" s="43">
        <f t="shared" si="0"/>
        <v>42664</v>
      </c>
      <c r="B38" s="23">
        <v>42</v>
      </c>
      <c r="C38" s="63">
        <f>IFERROR(SUMIFS('tuot-PVÄ'!C$3:C$604,'tuot-PVÄ'!$B$3:$B$604,$B38),)</f>
        <v>0</v>
      </c>
      <c r="D38" s="63">
        <f>IFERROR(SUMIFS('tuot-PVÄ'!D$3:D$604,'tuot-PVÄ'!$B$3:$B$604,$B38),)</f>
        <v>0</v>
      </c>
      <c r="E38" s="63">
        <f>IFERROR(SUMIFS('tuot-PVÄ'!I$3:I$604,'tuot-PVÄ'!$B$3:$B$604,$B38),)</f>
        <v>0</v>
      </c>
      <c r="F38" s="63">
        <f>IFERROR(AVERAGEIFS('tuot-PVÄ'!J$3:J$604,'tuot-PVÄ'!$B$3:$B$604,$B38),)</f>
        <v>0</v>
      </c>
      <c r="G38" s="63">
        <f>IFERROR(AVERAGEIFS('tuot-PVÄ'!K$3:K$604,'tuot-PVÄ'!$B$3:$B$604,$B38),)</f>
        <v>0</v>
      </c>
      <c r="H38" s="167"/>
      <c r="I38" s="167">
        <f>IFERROR(AVERAGEIFS('tuot-PVÄ'!L$3:L$604,'tuot-PVÄ'!$B$3:$B$604,$B38),)</f>
        <v>0</v>
      </c>
      <c r="J38" s="167"/>
      <c r="K38" s="167">
        <f>IFERROR(AVERAGEIFS('tuot-PVÄ'!M$3:M$604,'tuot-PVÄ'!$B$3:$B$604,$B38),)</f>
        <v>0</v>
      </c>
      <c r="L38" s="30"/>
      <c r="M38" s="12"/>
      <c r="N38" s="4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25">
      <c r="A39" s="43">
        <f t="shared" si="0"/>
        <v>42671</v>
      </c>
      <c r="B39" s="23">
        <v>43</v>
      </c>
      <c r="C39" s="63">
        <f>IFERROR(SUMIFS('tuot-PVÄ'!C$3:C$604,'tuot-PVÄ'!$B$3:$B$604,$B39),)</f>
        <v>0</v>
      </c>
      <c r="D39" s="63">
        <f>IFERROR(SUMIFS('tuot-PVÄ'!D$3:D$604,'tuot-PVÄ'!$B$3:$B$604,$B39),)</f>
        <v>0</v>
      </c>
      <c r="E39" s="63">
        <f>IFERROR(SUMIFS('tuot-PVÄ'!I$3:I$604,'tuot-PVÄ'!$B$3:$B$604,$B39),)</f>
        <v>0</v>
      </c>
      <c r="F39" s="63">
        <f>IFERROR(AVERAGEIFS('tuot-PVÄ'!J$3:J$604,'tuot-PVÄ'!$B$3:$B$604,$B39),)</f>
        <v>0</v>
      </c>
      <c r="G39" s="63">
        <f>IFERROR(AVERAGEIFS('tuot-PVÄ'!K$3:K$604,'tuot-PVÄ'!$B$3:$B$604,$B39),)</f>
        <v>0</v>
      </c>
      <c r="H39" s="167"/>
      <c r="I39" s="167">
        <f>IFERROR(AVERAGEIFS('tuot-PVÄ'!L$3:L$604,'tuot-PVÄ'!$B$3:$B$604,$B39),)</f>
        <v>0</v>
      </c>
      <c r="J39" s="167"/>
      <c r="K39" s="167">
        <f>IFERROR(AVERAGEIFS('tuot-PVÄ'!M$3:M$604,'tuot-PVÄ'!$B$3:$B$604,$B39),)</f>
        <v>0</v>
      </c>
      <c r="L39" s="30"/>
      <c r="M39" s="12"/>
      <c r="N39" s="42"/>
      <c r="O39" s="12"/>
      <c r="P39" s="12"/>
      <c r="Q39" s="12"/>
      <c r="R39" s="12"/>
      <c r="S39" s="12"/>
      <c r="T39" s="12"/>
      <c r="U39" s="12"/>
      <c r="V39" s="12"/>
      <c r="W39" s="12"/>
    </row>
    <row r="40" spans="1:23" x14ac:dyDescent="0.25">
      <c r="A40" s="43">
        <f t="shared" si="0"/>
        <v>42678</v>
      </c>
      <c r="B40" s="23">
        <v>44</v>
      </c>
      <c r="C40" s="63">
        <f>IFERROR(SUMIFS('tuot-PVÄ'!C$3:C$604,'tuot-PVÄ'!$B$3:$B$604,$B40),)</f>
        <v>0</v>
      </c>
      <c r="D40" s="63">
        <f>IFERROR(SUMIFS('tuot-PVÄ'!D$3:D$604,'tuot-PVÄ'!$B$3:$B$604,$B40),)</f>
        <v>0</v>
      </c>
      <c r="E40" s="63">
        <f>IFERROR(SUMIFS('tuot-PVÄ'!I$3:I$604,'tuot-PVÄ'!$B$3:$B$604,$B40),)</f>
        <v>0</v>
      </c>
      <c r="F40" s="63">
        <f>IFERROR(AVERAGEIFS('tuot-PVÄ'!J$3:J$604,'tuot-PVÄ'!$B$3:$B$604,$B40),)</f>
        <v>0</v>
      </c>
      <c r="G40" s="63">
        <f>IFERROR(AVERAGEIFS('tuot-PVÄ'!K$3:K$604,'tuot-PVÄ'!$B$3:$B$604,$B40),)</f>
        <v>0</v>
      </c>
      <c r="H40" s="167"/>
      <c r="I40" s="167">
        <f>IFERROR(AVERAGEIFS('tuot-PVÄ'!L$3:L$604,'tuot-PVÄ'!$B$3:$B$604,$B40),)</f>
        <v>0</v>
      </c>
      <c r="J40" s="167"/>
      <c r="K40" s="167">
        <f>IFERROR(AVERAGEIFS('tuot-PVÄ'!M$3:M$604,'tuot-PVÄ'!$B$3:$B$604,$B40),)</f>
        <v>0</v>
      </c>
      <c r="L40" s="30"/>
      <c r="M40" s="12"/>
      <c r="N40" s="42"/>
      <c r="O40" s="12"/>
      <c r="P40" s="12"/>
      <c r="Q40" s="12"/>
      <c r="R40" s="12"/>
      <c r="S40" s="12"/>
      <c r="T40" s="12"/>
      <c r="U40" s="12"/>
      <c r="V40" s="12"/>
      <c r="W40" s="12"/>
    </row>
    <row r="41" spans="1:23" x14ac:dyDescent="0.25">
      <c r="A41" s="43">
        <f t="shared" si="0"/>
        <v>42685</v>
      </c>
      <c r="B41" s="23">
        <v>45</v>
      </c>
      <c r="C41" s="63">
        <f>IFERROR(SUMIFS('tuot-PVÄ'!C$3:C$604,'tuot-PVÄ'!$B$3:$B$604,$B41),)</f>
        <v>0</v>
      </c>
      <c r="D41" s="63">
        <f>IFERROR(SUMIFS('tuot-PVÄ'!D$3:D$604,'tuot-PVÄ'!$B$3:$B$604,$B41),)</f>
        <v>0</v>
      </c>
      <c r="E41" s="63">
        <f>IFERROR(SUMIFS('tuot-PVÄ'!I$3:I$604,'tuot-PVÄ'!$B$3:$B$604,$B41),)</f>
        <v>0</v>
      </c>
      <c r="F41" s="63">
        <f>IFERROR(AVERAGEIFS('tuot-PVÄ'!J$3:J$604,'tuot-PVÄ'!$B$3:$B$604,$B41),)</f>
        <v>0</v>
      </c>
      <c r="G41" s="63">
        <f>IFERROR(AVERAGEIFS('tuot-PVÄ'!K$3:K$604,'tuot-PVÄ'!$B$3:$B$604,$B41),)</f>
        <v>0</v>
      </c>
      <c r="H41" s="167"/>
      <c r="I41" s="167">
        <f>IFERROR(AVERAGEIFS('tuot-PVÄ'!L$3:L$604,'tuot-PVÄ'!$B$3:$B$604,$B41),)</f>
        <v>0</v>
      </c>
      <c r="J41" s="167"/>
      <c r="K41" s="167">
        <f>IFERROR(AVERAGEIFS('tuot-PVÄ'!M$3:M$604,'tuot-PVÄ'!$B$3:$B$604,$B41),)</f>
        <v>0</v>
      </c>
      <c r="L41" s="30"/>
      <c r="M41" s="12"/>
      <c r="N41" s="42"/>
      <c r="O41" s="12"/>
      <c r="P41" s="12"/>
      <c r="Q41" s="12"/>
      <c r="R41" s="12"/>
      <c r="S41" s="12"/>
      <c r="T41" s="12"/>
      <c r="U41" s="12"/>
      <c r="V41" s="12"/>
      <c r="W41" s="12"/>
    </row>
    <row r="42" spans="1:23" x14ac:dyDescent="0.25">
      <c r="A42" s="43">
        <f t="shared" si="0"/>
        <v>42692</v>
      </c>
      <c r="B42" s="23">
        <v>46</v>
      </c>
      <c r="C42" s="63">
        <f>IFERROR(SUMIFS('tuot-PVÄ'!C$3:C$604,'tuot-PVÄ'!$B$3:$B$604,$B42),)</f>
        <v>0</v>
      </c>
      <c r="D42" s="63">
        <f>IFERROR(SUMIFS('tuot-PVÄ'!D$3:D$604,'tuot-PVÄ'!$B$3:$B$604,$B42),)</f>
        <v>0</v>
      </c>
      <c r="E42" s="63">
        <f>IFERROR(SUMIFS('tuot-PVÄ'!I$3:I$604,'tuot-PVÄ'!$B$3:$B$604,$B42),)</f>
        <v>0</v>
      </c>
      <c r="F42" s="63">
        <f>IFERROR(AVERAGEIFS('tuot-PVÄ'!J$3:J$604,'tuot-PVÄ'!$B$3:$B$604,$B42),)</f>
        <v>0</v>
      </c>
      <c r="G42" s="63">
        <f>IFERROR(AVERAGEIFS('tuot-PVÄ'!K$3:K$604,'tuot-PVÄ'!$B$3:$B$604,$B42),)</f>
        <v>0</v>
      </c>
      <c r="H42" s="167"/>
      <c r="I42" s="167">
        <f>IFERROR(AVERAGEIFS('tuot-PVÄ'!L$3:L$604,'tuot-PVÄ'!$B$3:$B$604,$B42),)</f>
        <v>0</v>
      </c>
      <c r="J42" s="167"/>
      <c r="K42" s="167">
        <f>IFERROR(AVERAGEIFS('tuot-PVÄ'!M$3:M$604,'tuot-PVÄ'!$B$3:$B$604,$B42),)</f>
        <v>0</v>
      </c>
      <c r="L42" s="30"/>
      <c r="M42" s="12"/>
      <c r="N42" s="42"/>
      <c r="O42" s="12"/>
      <c r="P42" s="12"/>
      <c r="Q42" s="12"/>
      <c r="R42" s="12"/>
      <c r="S42" s="12"/>
      <c r="T42" s="12"/>
      <c r="U42" s="12"/>
      <c r="V42" s="12"/>
      <c r="W42" s="12"/>
    </row>
    <row r="43" spans="1:23" x14ac:dyDescent="0.25">
      <c r="A43" s="43">
        <f t="shared" si="0"/>
        <v>42699</v>
      </c>
      <c r="B43" s="23">
        <v>47</v>
      </c>
      <c r="C43" s="63">
        <f>IFERROR(SUMIFS('tuot-PVÄ'!C$3:C$604,'tuot-PVÄ'!$B$3:$B$604,$B43),)</f>
        <v>0</v>
      </c>
      <c r="D43" s="63">
        <f>IFERROR(SUMIFS('tuot-PVÄ'!D$3:D$604,'tuot-PVÄ'!$B$3:$B$604,$B43),)</f>
        <v>0</v>
      </c>
      <c r="E43" s="63">
        <f>IFERROR(SUMIFS('tuot-PVÄ'!I$3:I$604,'tuot-PVÄ'!$B$3:$B$604,$B43),)</f>
        <v>0</v>
      </c>
      <c r="F43" s="63">
        <f>IFERROR(AVERAGEIFS('tuot-PVÄ'!J$3:J$604,'tuot-PVÄ'!$B$3:$B$604,$B43),)</f>
        <v>0</v>
      </c>
      <c r="G43" s="63">
        <f>IFERROR(AVERAGEIFS('tuot-PVÄ'!K$3:K$604,'tuot-PVÄ'!$B$3:$B$604,$B43),)</f>
        <v>0</v>
      </c>
      <c r="H43" s="167"/>
      <c r="I43" s="167">
        <f>IFERROR(AVERAGEIFS('tuot-PVÄ'!L$3:L$604,'tuot-PVÄ'!$B$3:$B$604,$B43),)</f>
        <v>0</v>
      </c>
      <c r="J43" s="167"/>
      <c r="K43" s="167">
        <f>IFERROR(AVERAGEIFS('tuot-PVÄ'!M$3:M$604,'tuot-PVÄ'!$B$3:$B$604,$B43),)</f>
        <v>0</v>
      </c>
      <c r="L43" s="30"/>
      <c r="M43" s="12"/>
      <c r="N43" s="42"/>
      <c r="O43" s="12"/>
      <c r="P43" s="12"/>
      <c r="Q43" s="12"/>
      <c r="R43" s="12"/>
      <c r="S43" s="12"/>
      <c r="T43" s="12"/>
      <c r="U43" s="12"/>
      <c r="V43" s="12"/>
      <c r="W43" s="12"/>
    </row>
    <row r="44" spans="1:23" x14ac:dyDescent="0.25">
      <c r="A44" s="43">
        <f t="shared" si="0"/>
        <v>42706</v>
      </c>
      <c r="B44" s="23">
        <v>48</v>
      </c>
      <c r="C44" s="63">
        <f>IFERROR(SUMIFS('tuot-PVÄ'!C$3:C$604,'tuot-PVÄ'!$B$3:$B$604,$B44),)</f>
        <v>0</v>
      </c>
      <c r="D44" s="63">
        <f>IFERROR(SUMIFS('tuot-PVÄ'!D$3:D$604,'tuot-PVÄ'!$B$3:$B$604,$B44),)</f>
        <v>0</v>
      </c>
      <c r="E44" s="63">
        <f>IFERROR(SUMIFS('tuot-PVÄ'!I$3:I$604,'tuot-PVÄ'!$B$3:$B$604,$B44),)</f>
        <v>0</v>
      </c>
      <c r="F44" s="63">
        <f>IFERROR(AVERAGEIFS('tuot-PVÄ'!J$3:J$604,'tuot-PVÄ'!$B$3:$B$604,$B44),)</f>
        <v>0</v>
      </c>
      <c r="G44" s="63">
        <f>IFERROR(AVERAGEIFS('tuot-PVÄ'!K$3:K$604,'tuot-PVÄ'!$B$3:$B$604,$B44),)</f>
        <v>0</v>
      </c>
      <c r="H44" s="167"/>
      <c r="I44" s="167">
        <f>IFERROR(AVERAGEIFS('tuot-PVÄ'!L$3:L$604,'tuot-PVÄ'!$B$3:$B$604,$B44),)</f>
        <v>0</v>
      </c>
      <c r="J44" s="167"/>
      <c r="K44" s="167">
        <f>IFERROR(AVERAGEIFS('tuot-PVÄ'!M$3:M$604,'tuot-PVÄ'!$B$3:$B$604,$B44),)</f>
        <v>0</v>
      </c>
      <c r="L44" s="30"/>
      <c r="M44" s="12"/>
      <c r="N44" s="42"/>
      <c r="O44" s="12"/>
      <c r="P44" s="12"/>
      <c r="Q44" s="12"/>
      <c r="R44" s="12"/>
      <c r="S44" s="12"/>
      <c r="T44" s="12"/>
      <c r="U44" s="12"/>
      <c r="V44" s="12"/>
      <c r="W44" s="12"/>
    </row>
    <row r="45" spans="1:23" x14ac:dyDescent="0.25">
      <c r="A45" s="43">
        <f t="shared" si="0"/>
        <v>42713</v>
      </c>
      <c r="B45" s="23">
        <v>49</v>
      </c>
      <c r="C45" s="63">
        <f>IFERROR(SUMIFS('tuot-PVÄ'!C$3:C$604,'tuot-PVÄ'!$B$3:$B$604,$B45),)</f>
        <v>0</v>
      </c>
      <c r="D45" s="63">
        <f>IFERROR(SUMIFS('tuot-PVÄ'!D$3:D$604,'tuot-PVÄ'!$B$3:$B$604,$B45),)</f>
        <v>0</v>
      </c>
      <c r="E45" s="63">
        <f>IFERROR(SUMIFS('tuot-PVÄ'!I$3:I$604,'tuot-PVÄ'!$B$3:$B$604,$B45),)</f>
        <v>0</v>
      </c>
      <c r="F45" s="63">
        <f>IFERROR(AVERAGEIFS('tuot-PVÄ'!J$3:J$604,'tuot-PVÄ'!$B$3:$B$604,$B45),)</f>
        <v>0</v>
      </c>
      <c r="G45" s="63">
        <f>IFERROR(AVERAGEIFS('tuot-PVÄ'!K$3:K$604,'tuot-PVÄ'!$B$3:$B$604,$B45),)</f>
        <v>0</v>
      </c>
      <c r="H45" s="167"/>
      <c r="I45" s="167">
        <f>IFERROR(AVERAGEIFS('tuot-PVÄ'!L$3:L$604,'tuot-PVÄ'!$B$3:$B$604,$B45),)</f>
        <v>0</v>
      </c>
      <c r="J45" s="167"/>
      <c r="K45" s="167">
        <f>IFERROR(AVERAGEIFS('tuot-PVÄ'!M$3:M$604,'tuot-PVÄ'!$B$3:$B$604,$B45),)</f>
        <v>0</v>
      </c>
      <c r="L45" s="30"/>
      <c r="M45" s="12"/>
      <c r="N45" s="42"/>
      <c r="O45" s="12"/>
      <c r="P45" s="12"/>
      <c r="Q45" s="12"/>
      <c r="R45" s="12"/>
      <c r="S45" s="12"/>
      <c r="T45" s="12"/>
      <c r="U45" s="12"/>
      <c r="V45" s="12"/>
      <c r="W45" s="12"/>
    </row>
    <row r="46" spans="1:23" x14ac:dyDescent="0.25">
      <c r="A46" s="43">
        <f t="shared" si="0"/>
        <v>42720</v>
      </c>
      <c r="B46" s="23">
        <v>50</v>
      </c>
      <c r="C46" s="63">
        <f>IFERROR(SUMIFS('tuot-PVÄ'!C$3:C$604,'tuot-PVÄ'!$B$3:$B$604,$B46),)</f>
        <v>0</v>
      </c>
      <c r="D46" s="63">
        <f>IFERROR(SUMIFS('tuot-PVÄ'!D$3:D$604,'tuot-PVÄ'!$B$3:$B$604,$B46),)</f>
        <v>0</v>
      </c>
      <c r="E46" s="63">
        <f>IFERROR(SUMIFS('tuot-PVÄ'!I$3:I$604,'tuot-PVÄ'!$B$3:$B$604,$B46),)</f>
        <v>0</v>
      </c>
      <c r="F46" s="63">
        <f>IFERROR(AVERAGEIFS('tuot-PVÄ'!J$3:J$604,'tuot-PVÄ'!$B$3:$B$604,$B46),)</f>
        <v>0</v>
      </c>
      <c r="G46" s="63">
        <f>IFERROR(AVERAGEIFS('tuot-PVÄ'!K$3:K$604,'tuot-PVÄ'!$B$3:$B$604,$B46),)</f>
        <v>0</v>
      </c>
      <c r="H46" s="167"/>
      <c r="I46" s="167">
        <f>IFERROR(AVERAGEIFS('tuot-PVÄ'!L$3:L$604,'tuot-PVÄ'!$B$3:$B$604,$B46),)</f>
        <v>0</v>
      </c>
      <c r="J46" s="167"/>
      <c r="K46" s="167">
        <f>IFERROR(AVERAGEIFS('tuot-PVÄ'!M$3:M$604,'tuot-PVÄ'!$B$3:$B$604,$B46),)</f>
        <v>0</v>
      </c>
      <c r="L46" s="30"/>
      <c r="M46" s="12"/>
      <c r="N46" s="42"/>
      <c r="O46" s="12"/>
      <c r="P46" s="12"/>
      <c r="Q46" s="12"/>
      <c r="R46" s="12"/>
      <c r="S46" s="12"/>
      <c r="T46" s="12"/>
      <c r="U46" s="12"/>
      <c r="V46" s="12"/>
      <c r="W46" s="12"/>
    </row>
    <row r="47" spans="1:23" x14ac:dyDescent="0.25">
      <c r="A47" s="43">
        <f t="shared" si="0"/>
        <v>42727</v>
      </c>
      <c r="B47" s="23">
        <v>51</v>
      </c>
      <c r="C47" s="63">
        <f>IFERROR(SUMIFS('tuot-PVÄ'!C$3:C$604,'tuot-PVÄ'!$B$3:$B$604,$B47),)</f>
        <v>0</v>
      </c>
      <c r="D47" s="63">
        <f>IFERROR(SUMIFS('tuot-PVÄ'!D$3:D$604,'tuot-PVÄ'!$B$3:$B$604,$B47),)</f>
        <v>0</v>
      </c>
      <c r="E47" s="63">
        <f>IFERROR(SUMIFS('tuot-PVÄ'!I$3:I$604,'tuot-PVÄ'!$B$3:$B$604,$B47),)</f>
        <v>0</v>
      </c>
      <c r="F47" s="63">
        <f>IFERROR(AVERAGEIFS('tuot-PVÄ'!J$3:J$604,'tuot-PVÄ'!$B$3:$B$604,$B47),)</f>
        <v>0</v>
      </c>
      <c r="G47" s="63">
        <f>IFERROR(AVERAGEIFS('tuot-PVÄ'!K$3:K$604,'tuot-PVÄ'!$B$3:$B$604,$B47),)</f>
        <v>0</v>
      </c>
      <c r="H47" s="167"/>
      <c r="I47" s="167">
        <f>IFERROR(AVERAGEIFS('tuot-PVÄ'!L$3:L$604,'tuot-PVÄ'!$B$3:$B$604,$B47),)</f>
        <v>0</v>
      </c>
      <c r="J47" s="167"/>
      <c r="K47" s="167">
        <f>IFERROR(AVERAGEIFS('tuot-PVÄ'!M$3:M$604,'tuot-PVÄ'!$B$3:$B$604,$B47),)</f>
        <v>0</v>
      </c>
      <c r="L47" s="30"/>
      <c r="M47" s="12"/>
      <c r="N47" s="42"/>
      <c r="O47" s="12"/>
      <c r="P47" s="12"/>
      <c r="Q47" s="12"/>
      <c r="R47" s="12"/>
      <c r="S47" s="12"/>
      <c r="T47" s="12"/>
      <c r="U47" s="12"/>
      <c r="V47" s="12"/>
      <c r="W47" s="12"/>
    </row>
    <row r="48" spans="1:23" x14ac:dyDescent="0.25">
      <c r="A48" s="43">
        <f t="shared" si="0"/>
        <v>42734</v>
      </c>
      <c r="B48" s="23">
        <v>52</v>
      </c>
      <c r="C48" s="63">
        <f>IFERROR(SUMIFS('tuot-PVÄ'!C$3:C$604,'tuot-PVÄ'!$B$3:$B$604,$B48),)</f>
        <v>0</v>
      </c>
      <c r="D48" s="63">
        <f>IFERROR(SUMIFS('tuot-PVÄ'!D$3:D$604,'tuot-PVÄ'!$B$3:$B$604,$B48),)</f>
        <v>0</v>
      </c>
      <c r="E48" s="63">
        <f>IFERROR(SUMIFS('tuot-PVÄ'!I$3:I$604,'tuot-PVÄ'!$B$3:$B$604,$B48),)</f>
        <v>0</v>
      </c>
      <c r="F48" s="63">
        <f>IFERROR(AVERAGEIFS('tuot-PVÄ'!J$3:J$604,'tuot-PVÄ'!$B$3:$B$604,$B48),)</f>
        <v>0</v>
      </c>
      <c r="G48" s="63">
        <f>IFERROR(AVERAGEIFS('tuot-PVÄ'!K$3:K$604,'tuot-PVÄ'!$B$3:$B$604,$B48),)</f>
        <v>0</v>
      </c>
      <c r="H48" s="167"/>
      <c r="I48" s="167">
        <f>IFERROR(AVERAGEIFS('tuot-PVÄ'!L$3:L$604,'tuot-PVÄ'!$B$3:$B$604,$B48),)</f>
        <v>0</v>
      </c>
      <c r="J48" s="167"/>
      <c r="K48" s="167">
        <f>IFERROR(AVERAGEIFS('tuot-PVÄ'!M$3:M$604,'tuot-PVÄ'!$B$3:$B$604,$B48),)</f>
        <v>0</v>
      </c>
      <c r="L48" s="30"/>
      <c r="M48" s="12"/>
      <c r="N48" s="42"/>
      <c r="O48" s="12"/>
      <c r="P48" s="12"/>
      <c r="Q48" s="12"/>
      <c r="R48" s="12"/>
      <c r="S48" s="12"/>
      <c r="T48" s="12"/>
      <c r="U48" s="12"/>
      <c r="V48" s="12"/>
      <c r="W48" s="12"/>
    </row>
    <row r="49" spans="1:23" x14ac:dyDescent="0.25">
      <c r="A49" s="43">
        <f t="shared" si="0"/>
        <v>42741</v>
      </c>
      <c r="B49" s="23">
        <v>53</v>
      </c>
      <c r="C49" s="63">
        <f>IFERROR(SUMIFS('tuot-PVÄ'!C$3:C$604,'tuot-PVÄ'!$B$3:$B$604,$B49),)</f>
        <v>0</v>
      </c>
      <c r="D49" s="63">
        <f>IFERROR(SUMIFS('tuot-PVÄ'!D$3:D$604,'tuot-PVÄ'!$B$3:$B$604,$B49),)</f>
        <v>0</v>
      </c>
      <c r="E49" s="63">
        <f>IFERROR(SUMIFS('tuot-PVÄ'!I$3:I$604,'tuot-PVÄ'!$B$3:$B$604,$B49),)</f>
        <v>0</v>
      </c>
      <c r="F49" s="63">
        <f>IFERROR(AVERAGEIFS('tuot-PVÄ'!J$3:J$604,'tuot-PVÄ'!$B$3:$B$604,$B49),)</f>
        <v>0</v>
      </c>
      <c r="G49" s="63">
        <f>IFERROR(AVERAGEIFS('tuot-PVÄ'!K$3:K$604,'tuot-PVÄ'!$B$3:$B$604,$B49),)</f>
        <v>0</v>
      </c>
      <c r="H49" s="167"/>
      <c r="I49" s="167">
        <f>IFERROR(AVERAGEIFS('tuot-PVÄ'!L$3:L$604,'tuot-PVÄ'!$B$3:$B$604,$B49),)</f>
        <v>0</v>
      </c>
      <c r="J49" s="167"/>
      <c r="K49" s="167">
        <f>IFERROR(AVERAGEIFS('tuot-PVÄ'!M$3:M$604,'tuot-PVÄ'!$B$3:$B$604,$B49),)</f>
        <v>0</v>
      </c>
      <c r="L49" s="30"/>
      <c r="M49" s="12"/>
      <c r="N49" s="42"/>
      <c r="O49" s="12"/>
      <c r="P49" s="12"/>
      <c r="Q49" s="12"/>
      <c r="R49" s="12"/>
      <c r="S49" s="12"/>
      <c r="T49" s="12"/>
      <c r="U49" s="12"/>
      <c r="V49" s="12"/>
      <c r="W49" s="12"/>
    </row>
    <row r="50" spans="1:23" x14ac:dyDescent="0.25">
      <c r="A50" s="43">
        <f t="shared" si="0"/>
        <v>42748</v>
      </c>
      <c r="B50" s="23">
        <v>54</v>
      </c>
      <c r="C50" s="63">
        <f>IFERROR(SUMIFS('tuot-PVÄ'!C$3:C$604,'tuot-PVÄ'!$B$3:$B$604,$B50),)</f>
        <v>0</v>
      </c>
      <c r="D50" s="63">
        <f>IFERROR(SUMIFS('tuot-PVÄ'!D$3:D$604,'tuot-PVÄ'!$B$3:$B$604,$B50),)</f>
        <v>0</v>
      </c>
      <c r="E50" s="63">
        <f>IFERROR(SUMIFS('tuot-PVÄ'!I$3:I$604,'tuot-PVÄ'!$B$3:$B$604,$B50),)</f>
        <v>0</v>
      </c>
      <c r="F50" s="63">
        <f>IFERROR(AVERAGEIFS('tuot-PVÄ'!J$3:J$604,'tuot-PVÄ'!$B$3:$B$604,$B50),)</f>
        <v>0</v>
      </c>
      <c r="G50" s="63">
        <f>IFERROR(AVERAGEIFS('tuot-PVÄ'!K$3:K$604,'tuot-PVÄ'!$B$3:$B$604,$B50),)</f>
        <v>0</v>
      </c>
      <c r="H50" s="167"/>
      <c r="I50" s="167">
        <f>IFERROR(AVERAGEIFS('tuot-PVÄ'!L$3:L$604,'tuot-PVÄ'!$B$3:$B$604,$B50),)</f>
        <v>0</v>
      </c>
      <c r="J50" s="167"/>
      <c r="K50" s="167">
        <f>IFERROR(AVERAGEIFS('tuot-PVÄ'!M$3:M$604,'tuot-PVÄ'!$B$3:$B$604,$B50),)</f>
        <v>0</v>
      </c>
      <c r="L50" s="30"/>
      <c r="M50" s="12"/>
      <c r="N50" s="42"/>
      <c r="O50" s="12"/>
      <c r="P50" s="12"/>
      <c r="Q50" s="12"/>
      <c r="R50" s="12"/>
      <c r="S50" s="12"/>
      <c r="T50" s="12"/>
      <c r="U50" s="12"/>
      <c r="V50" s="12"/>
      <c r="W50" s="12"/>
    </row>
    <row r="51" spans="1:23" x14ac:dyDescent="0.25">
      <c r="A51" s="43">
        <f t="shared" si="0"/>
        <v>42755</v>
      </c>
      <c r="B51" s="23">
        <v>55</v>
      </c>
      <c r="C51" s="63">
        <f>IFERROR(SUMIFS('tuot-PVÄ'!C$3:C$604,'tuot-PVÄ'!$B$3:$B$604,$B51),)</f>
        <v>0</v>
      </c>
      <c r="D51" s="63">
        <f>IFERROR(SUMIFS('tuot-PVÄ'!D$3:D$604,'tuot-PVÄ'!$B$3:$B$604,$B51),)</f>
        <v>0</v>
      </c>
      <c r="E51" s="63">
        <f>IFERROR(SUMIFS('tuot-PVÄ'!I$3:I$604,'tuot-PVÄ'!$B$3:$B$604,$B51),)</f>
        <v>0</v>
      </c>
      <c r="F51" s="63">
        <f>IFERROR(AVERAGEIFS('tuot-PVÄ'!J$3:J$604,'tuot-PVÄ'!$B$3:$B$604,$B51),)</f>
        <v>0</v>
      </c>
      <c r="G51" s="63">
        <f>IFERROR(AVERAGEIFS('tuot-PVÄ'!K$3:K$604,'tuot-PVÄ'!$B$3:$B$604,$B51),)</f>
        <v>0</v>
      </c>
      <c r="H51" s="167"/>
      <c r="I51" s="167">
        <f>IFERROR(AVERAGEIFS('tuot-PVÄ'!L$3:L$604,'tuot-PVÄ'!$B$3:$B$604,$B51),)</f>
        <v>0</v>
      </c>
      <c r="J51" s="167"/>
      <c r="K51" s="167">
        <f>IFERROR(AVERAGEIFS('tuot-PVÄ'!M$3:M$604,'tuot-PVÄ'!$B$3:$B$604,$B51),)</f>
        <v>0</v>
      </c>
      <c r="L51" s="30"/>
      <c r="M51" s="12"/>
      <c r="N51" s="42"/>
      <c r="O51" s="12"/>
      <c r="P51" s="12"/>
      <c r="Q51" s="12"/>
      <c r="R51" s="12"/>
      <c r="S51" s="12"/>
      <c r="T51" s="12"/>
      <c r="U51" s="12"/>
      <c r="V51" s="12"/>
      <c r="W51" s="12"/>
    </row>
    <row r="52" spans="1:23" x14ac:dyDescent="0.25">
      <c r="A52" s="43">
        <f t="shared" si="0"/>
        <v>42762</v>
      </c>
      <c r="B52" s="23">
        <v>56</v>
      </c>
      <c r="C52" s="63">
        <f>IFERROR(SUMIFS('tuot-PVÄ'!C$3:C$604,'tuot-PVÄ'!$B$3:$B$604,$B52),)</f>
        <v>0</v>
      </c>
      <c r="D52" s="63">
        <f>IFERROR(SUMIFS('tuot-PVÄ'!D$3:D$604,'tuot-PVÄ'!$B$3:$B$604,$B52),)</f>
        <v>0</v>
      </c>
      <c r="E52" s="63">
        <f>IFERROR(SUMIFS('tuot-PVÄ'!I$3:I$604,'tuot-PVÄ'!$B$3:$B$604,$B52),)</f>
        <v>0</v>
      </c>
      <c r="F52" s="63">
        <f>IFERROR(AVERAGEIFS('tuot-PVÄ'!J$3:J$604,'tuot-PVÄ'!$B$3:$B$604,$B52),)</f>
        <v>0</v>
      </c>
      <c r="G52" s="63">
        <f>IFERROR(AVERAGEIFS('tuot-PVÄ'!K$3:K$604,'tuot-PVÄ'!$B$3:$B$604,$B52),)</f>
        <v>0</v>
      </c>
      <c r="H52" s="167"/>
      <c r="I52" s="167">
        <f>IFERROR(AVERAGEIFS('tuot-PVÄ'!L$3:L$604,'tuot-PVÄ'!$B$3:$B$604,$B52),)</f>
        <v>0</v>
      </c>
      <c r="J52" s="167"/>
      <c r="K52" s="167">
        <f>IFERROR(AVERAGEIFS('tuot-PVÄ'!M$3:M$604,'tuot-PVÄ'!$B$3:$B$604,$B52),)</f>
        <v>0</v>
      </c>
      <c r="L52" s="30"/>
      <c r="M52" s="12"/>
      <c r="N52" s="42"/>
      <c r="O52" s="12"/>
      <c r="P52" s="12"/>
      <c r="Q52" s="12"/>
      <c r="R52" s="12"/>
      <c r="S52" s="12"/>
      <c r="T52" s="12"/>
      <c r="U52" s="12"/>
      <c r="V52" s="12"/>
      <c r="W52" s="12"/>
    </row>
    <row r="53" spans="1:23" x14ac:dyDescent="0.25">
      <c r="A53" s="43">
        <f t="shared" si="0"/>
        <v>42769</v>
      </c>
      <c r="B53" s="23">
        <v>57</v>
      </c>
      <c r="C53" s="63">
        <f>IFERROR(SUMIFS('tuot-PVÄ'!C$3:C$604,'tuot-PVÄ'!$B$3:$B$604,$B53),)</f>
        <v>0</v>
      </c>
      <c r="D53" s="63">
        <f>IFERROR(SUMIFS('tuot-PVÄ'!D$3:D$604,'tuot-PVÄ'!$B$3:$B$604,$B53),)</f>
        <v>0</v>
      </c>
      <c r="E53" s="63">
        <f>IFERROR(SUMIFS('tuot-PVÄ'!I$3:I$604,'tuot-PVÄ'!$B$3:$B$604,$B53),)</f>
        <v>0</v>
      </c>
      <c r="F53" s="63">
        <f>IFERROR(AVERAGEIFS('tuot-PVÄ'!J$3:J$604,'tuot-PVÄ'!$B$3:$B$604,$B53),)</f>
        <v>0</v>
      </c>
      <c r="G53" s="63">
        <f>IFERROR(AVERAGEIFS('tuot-PVÄ'!K$3:K$604,'tuot-PVÄ'!$B$3:$B$604,$B53),)</f>
        <v>0</v>
      </c>
      <c r="H53" s="167"/>
      <c r="I53" s="167">
        <f>IFERROR(AVERAGEIFS('tuot-PVÄ'!L$3:L$604,'tuot-PVÄ'!$B$3:$B$604,$B53),)</f>
        <v>0</v>
      </c>
      <c r="J53" s="167"/>
      <c r="K53" s="167">
        <f>IFERROR(AVERAGEIFS('tuot-PVÄ'!M$3:M$604,'tuot-PVÄ'!$B$3:$B$604,$B53),)</f>
        <v>0</v>
      </c>
      <c r="L53" s="30"/>
      <c r="M53" s="12"/>
      <c r="N53" s="42"/>
      <c r="O53" s="12"/>
      <c r="P53" s="12"/>
      <c r="Q53" s="12"/>
      <c r="R53" s="12"/>
      <c r="S53" s="12"/>
      <c r="T53" s="12"/>
      <c r="U53" s="12"/>
      <c r="V53" s="12"/>
      <c r="W53" s="12"/>
    </row>
    <row r="54" spans="1:23" x14ac:dyDescent="0.25">
      <c r="A54" s="43">
        <f t="shared" si="0"/>
        <v>42776</v>
      </c>
      <c r="B54" s="23">
        <v>58</v>
      </c>
      <c r="C54" s="63">
        <f>IFERROR(SUMIFS('tuot-PVÄ'!C$3:C$604,'tuot-PVÄ'!$B$3:$B$604,$B54),)</f>
        <v>0</v>
      </c>
      <c r="D54" s="63">
        <f>IFERROR(SUMIFS('tuot-PVÄ'!D$3:D$604,'tuot-PVÄ'!$B$3:$B$604,$B54),)</f>
        <v>0</v>
      </c>
      <c r="E54" s="63">
        <f>IFERROR(SUMIFS('tuot-PVÄ'!I$3:I$604,'tuot-PVÄ'!$B$3:$B$604,$B54),)</f>
        <v>0</v>
      </c>
      <c r="F54" s="63">
        <f>IFERROR(AVERAGEIFS('tuot-PVÄ'!J$3:J$604,'tuot-PVÄ'!$B$3:$B$604,$B54),)</f>
        <v>0</v>
      </c>
      <c r="G54" s="63">
        <f>IFERROR(AVERAGEIFS('tuot-PVÄ'!K$3:K$604,'tuot-PVÄ'!$B$3:$B$604,$B54),)</f>
        <v>0</v>
      </c>
      <c r="H54" s="167"/>
      <c r="I54" s="167">
        <f>IFERROR(AVERAGEIFS('tuot-PVÄ'!L$3:L$604,'tuot-PVÄ'!$B$3:$B$604,$B54),)</f>
        <v>0</v>
      </c>
      <c r="J54" s="167"/>
      <c r="K54" s="167">
        <f>IFERROR(AVERAGEIFS('tuot-PVÄ'!M$3:M$604,'tuot-PVÄ'!$B$3:$B$604,$B54),)</f>
        <v>0</v>
      </c>
      <c r="L54" s="30"/>
      <c r="M54" s="12"/>
      <c r="N54" s="42"/>
      <c r="O54" s="12"/>
      <c r="P54" s="12"/>
      <c r="Q54" s="12"/>
      <c r="R54" s="12"/>
      <c r="S54" s="12"/>
      <c r="T54" s="12"/>
      <c r="U54" s="12"/>
      <c r="V54" s="12"/>
      <c r="W54" s="12"/>
    </row>
    <row r="55" spans="1:23" x14ac:dyDescent="0.25">
      <c r="A55" s="43">
        <f t="shared" si="0"/>
        <v>42783</v>
      </c>
      <c r="B55" s="23">
        <v>59</v>
      </c>
      <c r="C55" s="63">
        <f>IFERROR(SUMIFS('tuot-PVÄ'!C$3:C$604,'tuot-PVÄ'!$B$3:$B$604,$B55),)</f>
        <v>0</v>
      </c>
      <c r="D55" s="63">
        <f>IFERROR(SUMIFS('tuot-PVÄ'!D$3:D$604,'tuot-PVÄ'!$B$3:$B$604,$B55),)</f>
        <v>0</v>
      </c>
      <c r="E55" s="63">
        <f>IFERROR(SUMIFS('tuot-PVÄ'!I$3:I$604,'tuot-PVÄ'!$B$3:$B$604,$B55),)</f>
        <v>0</v>
      </c>
      <c r="F55" s="63">
        <f>IFERROR(AVERAGEIFS('tuot-PVÄ'!J$3:J$604,'tuot-PVÄ'!$B$3:$B$604,$B55),)</f>
        <v>0</v>
      </c>
      <c r="G55" s="63">
        <f>IFERROR(AVERAGEIFS('tuot-PVÄ'!K$3:K$604,'tuot-PVÄ'!$B$3:$B$604,$B55),)</f>
        <v>0</v>
      </c>
      <c r="H55" s="167"/>
      <c r="I55" s="167">
        <f>IFERROR(AVERAGEIFS('tuot-PVÄ'!L$3:L$604,'tuot-PVÄ'!$B$3:$B$604,$B55),)</f>
        <v>0</v>
      </c>
      <c r="J55" s="167"/>
      <c r="K55" s="167">
        <f>IFERROR(AVERAGEIFS('tuot-PVÄ'!M$3:M$604,'tuot-PVÄ'!$B$3:$B$604,$B55),)</f>
        <v>0</v>
      </c>
      <c r="L55" s="30"/>
      <c r="M55" s="12"/>
      <c r="N55" s="42"/>
      <c r="O55" s="12"/>
      <c r="P55" s="12"/>
      <c r="Q55" s="12"/>
      <c r="R55" s="12"/>
      <c r="S55" s="12"/>
      <c r="T55" s="12"/>
      <c r="U55" s="12"/>
      <c r="V55" s="12"/>
      <c r="W55" s="12"/>
    </row>
    <row r="56" spans="1:23" x14ac:dyDescent="0.25">
      <c r="A56" s="43">
        <f t="shared" si="0"/>
        <v>42790</v>
      </c>
      <c r="B56" s="23">
        <v>60</v>
      </c>
      <c r="C56" s="63">
        <f>IFERROR(SUMIFS('tuot-PVÄ'!C$3:C$604,'tuot-PVÄ'!$B$3:$B$604,$B56),)</f>
        <v>0</v>
      </c>
      <c r="D56" s="63">
        <f>IFERROR(SUMIFS('tuot-PVÄ'!D$3:D$604,'tuot-PVÄ'!$B$3:$B$604,$B56),)</f>
        <v>0</v>
      </c>
      <c r="E56" s="63">
        <f>IFERROR(SUMIFS('tuot-PVÄ'!I$3:I$604,'tuot-PVÄ'!$B$3:$B$604,$B56),)</f>
        <v>0</v>
      </c>
      <c r="F56" s="63">
        <f>IFERROR(AVERAGEIFS('tuot-PVÄ'!J$3:J$604,'tuot-PVÄ'!$B$3:$B$604,$B56),)</f>
        <v>0</v>
      </c>
      <c r="G56" s="63">
        <f>IFERROR(AVERAGEIFS('tuot-PVÄ'!K$3:K$604,'tuot-PVÄ'!$B$3:$B$604,$B56),)</f>
        <v>0</v>
      </c>
      <c r="H56" s="167"/>
      <c r="I56" s="167">
        <f>IFERROR(AVERAGEIFS('tuot-PVÄ'!L$3:L$604,'tuot-PVÄ'!$B$3:$B$604,$B56),)</f>
        <v>0</v>
      </c>
      <c r="J56" s="167"/>
      <c r="K56" s="167">
        <f>IFERROR(AVERAGEIFS('tuot-PVÄ'!M$3:M$604,'tuot-PVÄ'!$B$3:$B$604,$B56),)</f>
        <v>0</v>
      </c>
      <c r="L56" s="30"/>
      <c r="M56" s="12"/>
      <c r="N56" s="42"/>
      <c r="O56" s="12"/>
      <c r="P56" s="12"/>
      <c r="Q56" s="12"/>
      <c r="R56" s="12"/>
      <c r="S56" s="12"/>
      <c r="T56" s="12"/>
      <c r="U56" s="12"/>
      <c r="V56" s="12"/>
      <c r="W56" s="12"/>
    </row>
    <row r="57" spans="1:23" x14ac:dyDescent="0.25">
      <c r="A57" s="43">
        <f t="shared" si="0"/>
        <v>42797</v>
      </c>
      <c r="B57" s="23">
        <v>61</v>
      </c>
      <c r="C57" s="63">
        <f>IFERROR(SUMIFS('tuot-PVÄ'!C$3:C$604,'tuot-PVÄ'!$B$3:$B$604,$B57),)</f>
        <v>0</v>
      </c>
      <c r="D57" s="63">
        <f>IFERROR(SUMIFS('tuot-PVÄ'!D$3:D$604,'tuot-PVÄ'!$B$3:$B$604,$B57),)</f>
        <v>0</v>
      </c>
      <c r="E57" s="63">
        <f>IFERROR(SUMIFS('tuot-PVÄ'!I$3:I$604,'tuot-PVÄ'!$B$3:$B$604,$B57),)</f>
        <v>0</v>
      </c>
      <c r="F57" s="63">
        <f>IFERROR(AVERAGEIFS('tuot-PVÄ'!J$3:J$604,'tuot-PVÄ'!$B$3:$B$604,$B57),)</f>
        <v>0</v>
      </c>
      <c r="G57" s="63">
        <f>IFERROR(AVERAGEIFS('tuot-PVÄ'!K$3:K$604,'tuot-PVÄ'!$B$3:$B$604,$B57),)</f>
        <v>0</v>
      </c>
      <c r="H57" s="167"/>
      <c r="I57" s="167">
        <f>IFERROR(AVERAGEIFS('tuot-PVÄ'!L$3:L$604,'tuot-PVÄ'!$B$3:$B$604,$B57),)</f>
        <v>0</v>
      </c>
      <c r="J57" s="167"/>
      <c r="K57" s="167">
        <f>IFERROR(AVERAGEIFS('tuot-PVÄ'!M$3:M$604,'tuot-PVÄ'!$B$3:$B$604,$B57),)</f>
        <v>0</v>
      </c>
      <c r="L57" s="30"/>
      <c r="M57" s="12"/>
      <c r="N57" s="42"/>
      <c r="O57" s="12"/>
      <c r="P57" s="12"/>
      <c r="Q57" s="12"/>
      <c r="R57" s="12"/>
      <c r="S57" s="12"/>
      <c r="T57" s="12"/>
      <c r="U57" s="12"/>
      <c r="V57" s="12"/>
      <c r="W57" s="12"/>
    </row>
    <row r="58" spans="1:23" x14ac:dyDescent="0.25">
      <c r="A58" s="43">
        <f t="shared" si="0"/>
        <v>42804</v>
      </c>
      <c r="B58" s="23">
        <v>62</v>
      </c>
      <c r="C58" s="63">
        <f>IFERROR(SUMIFS('tuot-PVÄ'!C$3:C$604,'tuot-PVÄ'!$B$3:$B$604,$B58),)</f>
        <v>0</v>
      </c>
      <c r="D58" s="63">
        <f>IFERROR(SUMIFS('tuot-PVÄ'!D$3:D$604,'tuot-PVÄ'!$B$3:$B$604,$B58),)</f>
        <v>0</v>
      </c>
      <c r="E58" s="63">
        <f>IFERROR(SUMIFS('tuot-PVÄ'!I$3:I$604,'tuot-PVÄ'!$B$3:$B$604,$B58),)</f>
        <v>0</v>
      </c>
      <c r="F58" s="63">
        <f>IFERROR(AVERAGEIFS('tuot-PVÄ'!J$3:J$604,'tuot-PVÄ'!$B$3:$B$604,$B58),)</f>
        <v>0</v>
      </c>
      <c r="G58" s="63">
        <f>IFERROR(AVERAGEIFS('tuot-PVÄ'!K$3:K$604,'tuot-PVÄ'!$B$3:$B$604,$B58),)</f>
        <v>0</v>
      </c>
      <c r="H58" s="167"/>
      <c r="I58" s="167">
        <f>IFERROR(AVERAGEIFS('tuot-PVÄ'!L$3:L$604,'tuot-PVÄ'!$B$3:$B$604,$B58),)</f>
        <v>0</v>
      </c>
      <c r="J58" s="167"/>
      <c r="K58" s="167">
        <f>IFERROR(AVERAGEIFS('tuot-PVÄ'!M$3:M$604,'tuot-PVÄ'!$B$3:$B$604,$B58),)</f>
        <v>0</v>
      </c>
      <c r="L58" s="30"/>
      <c r="M58" s="12"/>
      <c r="N58" s="42"/>
      <c r="O58" s="12"/>
      <c r="P58" s="12"/>
      <c r="Q58" s="12"/>
      <c r="R58" s="12"/>
      <c r="S58" s="12"/>
      <c r="T58" s="12"/>
      <c r="U58" s="12"/>
      <c r="V58" s="12"/>
      <c r="W58" s="12"/>
    </row>
    <row r="59" spans="1:23" x14ac:dyDescent="0.25">
      <c r="A59" s="43">
        <f t="shared" si="0"/>
        <v>42811</v>
      </c>
      <c r="B59" s="23">
        <v>63</v>
      </c>
      <c r="C59" s="63">
        <f>IFERROR(SUMIFS('tuot-PVÄ'!C$3:C$604,'tuot-PVÄ'!$B$3:$B$604,$B59),)</f>
        <v>0</v>
      </c>
      <c r="D59" s="63">
        <f>IFERROR(SUMIFS('tuot-PVÄ'!D$3:D$604,'tuot-PVÄ'!$B$3:$B$604,$B59),)</f>
        <v>0</v>
      </c>
      <c r="E59" s="63">
        <f>IFERROR(SUMIFS('tuot-PVÄ'!I$3:I$604,'tuot-PVÄ'!$B$3:$B$604,$B59),)</f>
        <v>0</v>
      </c>
      <c r="F59" s="63">
        <f>IFERROR(AVERAGEIFS('tuot-PVÄ'!J$3:J$604,'tuot-PVÄ'!$B$3:$B$604,$B59),)</f>
        <v>0</v>
      </c>
      <c r="G59" s="63">
        <f>IFERROR(AVERAGEIFS('tuot-PVÄ'!K$3:K$604,'tuot-PVÄ'!$B$3:$B$604,$B59),)</f>
        <v>0</v>
      </c>
      <c r="H59" s="167"/>
      <c r="I59" s="167">
        <f>IFERROR(AVERAGEIFS('tuot-PVÄ'!L$3:L$604,'tuot-PVÄ'!$B$3:$B$604,$B59),)</f>
        <v>0</v>
      </c>
      <c r="J59" s="167"/>
      <c r="K59" s="167">
        <f>IFERROR(AVERAGEIFS('tuot-PVÄ'!M$3:M$604,'tuot-PVÄ'!$B$3:$B$604,$B59),)</f>
        <v>0</v>
      </c>
      <c r="L59" s="30"/>
      <c r="M59" s="12"/>
      <c r="N59" s="42"/>
      <c r="O59" s="12"/>
      <c r="P59" s="12"/>
      <c r="Q59" s="12"/>
      <c r="R59" s="12"/>
      <c r="S59" s="12"/>
      <c r="T59" s="12"/>
      <c r="U59" s="12"/>
      <c r="V59" s="12"/>
      <c r="W59" s="12"/>
    </row>
    <row r="60" spans="1:23" x14ac:dyDescent="0.25">
      <c r="A60" s="43">
        <f t="shared" si="0"/>
        <v>42818</v>
      </c>
      <c r="B60" s="23">
        <v>64</v>
      </c>
      <c r="C60" s="63">
        <f>IFERROR(SUMIFS('tuot-PVÄ'!C$3:C$604,'tuot-PVÄ'!$B$3:$B$604,$B60),)</f>
        <v>0</v>
      </c>
      <c r="D60" s="63">
        <f>IFERROR(SUMIFS('tuot-PVÄ'!D$3:D$604,'tuot-PVÄ'!$B$3:$B$604,$B60),)</f>
        <v>0</v>
      </c>
      <c r="E60" s="63">
        <f>IFERROR(SUMIFS('tuot-PVÄ'!I$3:I$604,'tuot-PVÄ'!$B$3:$B$604,$B60),)</f>
        <v>0</v>
      </c>
      <c r="F60" s="63">
        <f>IFERROR(AVERAGEIFS('tuot-PVÄ'!J$3:J$604,'tuot-PVÄ'!$B$3:$B$604,$B60),)</f>
        <v>0</v>
      </c>
      <c r="G60" s="63">
        <f>IFERROR(AVERAGEIFS('tuot-PVÄ'!K$3:K$604,'tuot-PVÄ'!$B$3:$B$604,$B60),)</f>
        <v>0</v>
      </c>
      <c r="H60" s="167"/>
      <c r="I60" s="167">
        <f>IFERROR(AVERAGEIFS('tuot-PVÄ'!L$3:L$604,'tuot-PVÄ'!$B$3:$B$604,$B60),)</f>
        <v>0</v>
      </c>
      <c r="J60" s="167"/>
      <c r="K60" s="167">
        <f>IFERROR(AVERAGEIFS('tuot-PVÄ'!M$3:M$604,'tuot-PVÄ'!$B$3:$B$604,$B60),)</f>
        <v>0</v>
      </c>
      <c r="L60" s="30"/>
      <c r="M60" s="12"/>
      <c r="N60" s="42"/>
      <c r="O60" s="12"/>
      <c r="P60" s="12"/>
      <c r="Q60" s="12"/>
      <c r="R60" s="12"/>
      <c r="S60" s="12"/>
      <c r="T60" s="12"/>
      <c r="U60" s="12"/>
      <c r="V60" s="12"/>
      <c r="W60" s="12"/>
    </row>
    <row r="61" spans="1:23" x14ac:dyDescent="0.25">
      <c r="A61" s="43">
        <f t="shared" si="0"/>
        <v>42825</v>
      </c>
      <c r="B61" s="23">
        <v>65</v>
      </c>
      <c r="C61" s="63">
        <f>IFERROR(SUMIFS('tuot-PVÄ'!C$3:C$604,'tuot-PVÄ'!$B$3:$B$604,$B61),)</f>
        <v>0</v>
      </c>
      <c r="D61" s="63">
        <f>IFERROR(SUMIFS('tuot-PVÄ'!D$3:D$604,'tuot-PVÄ'!$B$3:$B$604,$B61),)</f>
        <v>0</v>
      </c>
      <c r="E61" s="63">
        <f>IFERROR(SUMIFS('tuot-PVÄ'!I$3:I$604,'tuot-PVÄ'!$B$3:$B$604,$B61),)</f>
        <v>0</v>
      </c>
      <c r="F61" s="63">
        <f>IFERROR(AVERAGEIFS('tuot-PVÄ'!J$3:J$604,'tuot-PVÄ'!$B$3:$B$604,$B61),)</f>
        <v>0</v>
      </c>
      <c r="G61" s="63">
        <f>IFERROR(AVERAGEIFS('tuot-PVÄ'!K$3:K$604,'tuot-PVÄ'!$B$3:$B$604,$B61),)</f>
        <v>0</v>
      </c>
      <c r="H61" s="167"/>
      <c r="I61" s="167">
        <f>IFERROR(AVERAGEIFS('tuot-PVÄ'!L$3:L$604,'tuot-PVÄ'!$B$3:$B$604,$B61),)</f>
        <v>0</v>
      </c>
      <c r="J61" s="167"/>
      <c r="K61" s="167">
        <f>IFERROR(AVERAGEIFS('tuot-PVÄ'!M$3:M$604,'tuot-PVÄ'!$B$3:$B$604,$B61),)</f>
        <v>0</v>
      </c>
      <c r="L61" s="30"/>
      <c r="M61" s="12"/>
      <c r="N61" s="42"/>
      <c r="O61" s="12"/>
      <c r="P61" s="12"/>
      <c r="Q61" s="12"/>
      <c r="R61" s="12"/>
      <c r="S61" s="12"/>
      <c r="T61" s="12"/>
      <c r="U61" s="12"/>
      <c r="V61" s="12"/>
      <c r="W61" s="12"/>
    </row>
    <row r="62" spans="1:23" x14ac:dyDescent="0.25">
      <c r="A62" s="43">
        <f t="shared" si="0"/>
        <v>42832</v>
      </c>
      <c r="B62" s="23">
        <v>66</v>
      </c>
      <c r="C62" s="63">
        <f>IFERROR(SUMIFS('tuot-PVÄ'!C$3:C$604,'tuot-PVÄ'!$B$3:$B$604,$B62),)</f>
        <v>0</v>
      </c>
      <c r="D62" s="63">
        <f>IFERROR(SUMIFS('tuot-PVÄ'!D$3:D$604,'tuot-PVÄ'!$B$3:$B$604,$B62),)</f>
        <v>0</v>
      </c>
      <c r="E62" s="63">
        <f>IFERROR(SUMIFS('tuot-PVÄ'!I$3:I$604,'tuot-PVÄ'!$B$3:$B$604,$B62),)</f>
        <v>0</v>
      </c>
      <c r="F62" s="63">
        <f>IFERROR(AVERAGEIFS('tuot-PVÄ'!J$3:J$604,'tuot-PVÄ'!$B$3:$B$604,$B62),)</f>
        <v>0</v>
      </c>
      <c r="G62" s="63">
        <f>IFERROR(AVERAGEIFS('tuot-PVÄ'!K$3:K$604,'tuot-PVÄ'!$B$3:$B$604,$B62),)</f>
        <v>0</v>
      </c>
      <c r="H62" s="167"/>
      <c r="I62" s="167">
        <f>IFERROR(AVERAGEIFS('tuot-PVÄ'!L$3:L$604,'tuot-PVÄ'!$B$3:$B$604,$B62),)</f>
        <v>0</v>
      </c>
      <c r="J62" s="167"/>
      <c r="K62" s="167">
        <f>IFERROR(AVERAGEIFS('tuot-PVÄ'!M$3:M$604,'tuot-PVÄ'!$B$3:$B$604,$B62),)</f>
        <v>0</v>
      </c>
      <c r="L62" s="30"/>
      <c r="M62" s="12"/>
      <c r="N62" s="42"/>
      <c r="O62" s="12"/>
      <c r="P62" s="12"/>
      <c r="Q62" s="12"/>
    </row>
    <row r="63" spans="1:23" x14ac:dyDescent="0.25">
      <c r="A63" s="43">
        <f t="shared" si="0"/>
        <v>42839</v>
      </c>
      <c r="B63" s="23">
        <v>67</v>
      </c>
      <c r="C63" s="63">
        <f>IFERROR(SUMIFS('tuot-PVÄ'!C$3:C$604,'tuot-PVÄ'!$B$3:$B$604,$B63),)</f>
        <v>0</v>
      </c>
      <c r="D63" s="63">
        <f>IFERROR(SUMIFS('tuot-PVÄ'!D$3:D$604,'tuot-PVÄ'!$B$3:$B$604,$B63),)</f>
        <v>0</v>
      </c>
      <c r="E63" s="63">
        <f>IFERROR(SUMIFS('tuot-PVÄ'!I$3:I$604,'tuot-PVÄ'!$B$3:$B$604,$B63),)</f>
        <v>0</v>
      </c>
      <c r="F63" s="63">
        <f>IFERROR(AVERAGEIFS('tuot-PVÄ'!J$3:J$604,'tuot-PVÄ'!$B$3:$B$604,$B63),)</f>
        <v>0</v>
      </c>
      <c r="G63" s="63">
        <f>IFERROR(AVERAGEIFS('tuot-PVÄ'!K$3:K$604,'tuot-PVÄ'!$B$3:$B$604,$B63),)</f>
        <v>0</v>
      </c>
      <c r="H63" s="167"/>
      <c r="I63" s="167">
        <f>IFERROR(AVERAGEIFS('tuot-PVÄ'!L$3:L$604,'tuot-PVÄ'!$B$3:$B$604,$B63),)</f>
        <v>0</v>
      </c>
      <c r="J63" s="167"/>
      <c r="K63" s="167">
        <f>IFERROR(AVERAGEIFS('tuot-PVÄ'!M$3:M$604,'tuot-PVÄ'!$B$3:$B$604,$B63),)</f>
        <v>0</v>
      </c>
      <c r="L63" s="30"/>
      <c r="M63" s="12"/>
      <c r="N63" s="42"/>
      <c r="O63" s="12"/>
      <c r="P63" s="12"/>
      <c r="Q63" s="12"/>
    </row>
    <row r="64" spans="1:23" x14ac:dyDescent="0.25">
      <c r="A64" s="43">
        <f t="shared" si="0"/>
        <v>42846</v>
      </c>
      <c r="B64" s="23">
        <v>68</v>
      </c>
      <c r="C64" s="63">
        <f>IFERROR(SUMIFS('tuot-PVÄ'!C$3:C$604,'tuot-PVÄ'!$B$3:$B$604,$B64),)</f>
        <v>0</v>
      </c>
      <c r="D64" s="63">
        <f>IFERROR(SUMIFS('tuot-PVÄ'!D$3:D$604,'tuot-PVÄ'!$B$3:$B$604,$B64),)</f>
        <v>0</v>
      </c>
      <c r="E64" s="63">
        <f>IFERROR(SUMIFS('tuot-PVÄ'!I$3:I$604,'tuot-PVÄ'!$B$3:$B$604,$B64),)</f>
        <v>0</v>
      </c>
      <c r="F64" s="63">
        <f>IFERROR(AVERAGEIFS('tuot-PVÄ'!J$3:J$604,'tuot-PVÄ'!$B$3:$B$604,$B64),)</f>
        <v>0</v>
      </c>
      <c r="G64" s="63">
        <f>IFERROR(AVERAGEIFS('tuot-PVÄ'!K$3:K$604,'tuot-PVÄ'!$B$3:$B$604,$B64),)</f>
        <v>0</v>
      </c>
      <c r="H64" s="167"/>
      <c r="I64" s="167">
        <f>IFERROR(AVERAGEIFS('tuot-PVÄ'!L$3:L$604,'tuot-PVÄ'!$B$3:$B$604,$B64),)</f>
        <v>0</v>
      </c>
      <c r="J64" s="167"/>
      <c r="K64" s="167">
        <f>IFERROR(AVERAGEIFS('tuot-PVÄ'!M$3:M$604,'tuot-PVÄ'!$B$3:$B$604,$B64),)</f>
        <v>0</v>
      </c>
      <c r="L64" s="30"/>
      <c r="M64" s="12"/>
      <c r="N64" s="42"/>
      <c r="O64" s="12"/>
      <c r="P64" s="12"/>
      <c r="Q64" s="12"/>
    </row>
    <row r="65" spans="1:17" x14ac:dyDescent="0.25">
      <c r="A65" s="43">
        <f t="shared" si="0"/>
        <v>42853</v>
      </c>
      <c r="B65" s="23">
        <v>69</v>
      </c>
      <c r="C65" s="63">
        <f>IFERROR(SUMIFS('tuot-PVÄ'!C$3:C$604,'tuot-PVÄ'!$B$3:$B$604,$B65),)</f>
        <v>0</v>
      </c>
      <c r="D65" s="63">
        <f>IFERROR(SUMIFS('tuot-PVÄ'!D$3:D$604,'tuot-PVÄ'!$B$3:$B$604,$B65),)</f>
        <v>0</v>
      </c>
      <c r="E65" s="63">
        <f>IFERROR(SUMIFS('tuot-PVÄ'!I$3:I$604,'tuot-PVÄ'!$B$3:$B$604,$B65),)</f>
        <v>0</v>
      </c>
      <c r="F65" s="63">
        <f>IFERROR(AVERAGEIFS('tuot-PVÄ'!J$3:J$604,'tuot-PVÄ'!$B$3:$B$604,$B65),)</f>
        <v>0</v>
      </c>
      <c r="G65" s="63">
        <f>IFERROR(AVERAGEIFS('tuot-PVÄ'!K$3:K$604,'tuot-PVÄ'!$B$3:$B$604,$B65),)</f>
        <v>0</v>
      </c>
      <c r="H65" s="167"/>
      <c r="I65" s="167">
        <f>IFERROR(AVERAGEIFS('tuot-PVÄ'!L$3:L$604,'tuot-PVÄ'!$B$3:$B$604,$B65),)</f>
        <v>0</v>
      </c>
      <c r="J65" s="167"/>
      <c r="K65" s="167">
        <f>IFERROR(AVERAGEIFS('tuot-PVÄ'!M$3:M$604,'tuot-PVÄ'!$B$3:$B$604,$B65),)</f>
        <v>0</v>
      </c>
      <c r="L65" s="30"/>
      <c r="M65" s="12"/>
      <c r="N65" s="42"/>
      <c r="O65" s="12"/>
      <c r="P65" s="12"/>
      <c r="Q65" s="12"/>
    </row>
    <row r="66" spans="1:17" x14ac:dyDescent="0.25">
      <c r="A66" s="43">
        <f t="shared" si="0"/>
        <v>42860</v>
      </c>
      <c r="B66" s="23">
        <v>70</v>
      </c>
      <c r="C66" s="63">
        <f>IFERROR(SUMIFS('tuot-PVÄ'!C$3:C$604,'tuot-PVÄ'!$B$3:$B$604,$B66),)</f>
        <v>0</v>
      </c>
      <c r="D66" s="63">
        <f>IFERROR(SUMIFS('tuot-PVÄ'!D$3:D$604,'tuot-PVÄ'!$B$3:$B$604,$B66),)</f>
        <v>0</v>
      </c>
      <c r="E66" s="63">
        <f>IFERROR(SUMIFS('tuot-PVÄ'!I$3:I$604,'tuot-PVÄ'!$B$3:$B$604,$B66),)</f>
        <v>0</v>
      </c>
      <c r="F66" s="63">
        <f>IFERROR(AVERAGEIFS('tuot-PVÄ'!J$3:J$604,'tuot-PVÄ'!$B$3:$B$604,$B66),)</f>
        <v>0</v>
      </c>
      <c r="G66" s="63">
        <f>IFERROR(AVERAGEIFS('tuot-PVÄ'!K$3:K$604,'tuot-PVÄ'!$B$3:$B$604,$B66),)</f>
        <v>0</v>
      </c>
      <c r="H66" s="167"/>
      <c r="I66" s="167">
        <f>IFERROR(AVERAGEIFS('tuot-PVÄ'!L$3:L$604,'tuot-PVÄ'!$B$3:$B$604,$B66),)</f>
        <v>0</v>
      </c>
      <c r="J66" s="167"/>
      <c r="K66" s="167">
        <f>IFERROR(AVERAGEIFS('tuot-PVÄ'!M$3:M$604,'tuot-PVÄ'!$B$3:$B$604,$B66),)</f>
        <v>0</v>
      </c>
      <c r="L66" s="30"/>
      <c r="M66" s="12"/>
      <c r="N66" s="42"/>
      <c r="O66" s="12"/>
      <c r="P66" s="12"/>
      <c r="Q66" s="12"/>
    </row>
    <row r="67" spans="1:17" x14ac:dyDescent="0.25">
      <c r="A67" s="43">
        <f t="shared" si="0"/>
        <v>42867</v>
      </c>
      <c r="B67" s="23">
        <v>71</v>
      </c>
      <c r="C67" s="63">
        <f>IFERROR(SUMIFS('tuot-PVÄ'!C$3:C$604,'tuot-PVÄ'!$B$3:$B$604,$B67),)</f>
        <v>0</v>
      </c>
      <c r="D67" s="63">
        <f>IFERROR(SUMIFS('tuot-PVÄ'!D$3:D$604,'tuot-PVÄ'!$B$3:$B$604,$B67),)</f>
        <v>0</v>
      </c>
      <c r="E67" s="63">
        <f>IFERROR(SUMIFS('tuot-PVÄ'!I$3:I$604,'tuot-PVÄ'!$B$3:$B$604,$B67),)</f>
        <v>0</v>
      </c>
      <c r="F67" s="63">
        <f>IFERROR(AVERAGEIFS('tuot-PVÄ'!J$3:J$604,'tuot-PVÄ'!$B$3:$B$604,$B67),)</f>
        <v>0</v>
      </c>
      <c r="G67" s="63">
        <f>IFERROR(AVERAGEIFS('tuot-PVÄ'!K$3:K$604,'tuot-PVÄ'!$B$3:$B$604,$B67),)</f>
        <v>0</v>
      </c>
      <c r="H67" s="167"/>
      <c r="I67" s="167">
        <f>IFERROR(AVERAGEIFS('tuot-PVÄ'!L$3:L$604,'tuot-PVÄ'!$B$3:$B$604,$B67),)</f>
        <v>0</v>
      </c>
      <c r="J67" s="167"/>
      <c r="K67" s="167">
        <f>IFERROR(AVERAGEIFS('tuot-PVÄ'!M$3:M$604,'tuot-PVÄ'!$B$3:$B$604,$B67),)</f>
        <v>0</v>
      </c>
      <c r="L67" s="30"/>
      <c r="M67" s="12"/>
      <c r="N67" s="42"/>
      <c r="O67" s="12"/>
      <c r="P67" s="12"/>
      <c r="Q67" s="12"/>
    </row>
    <row r="68" spans="1:17" x14ac:dyDescent="0.25">
      <c r="A68" s="43">
        <f t="shared" si="0"/>
        <v>42874</v>
      </c>
      <c r="B68" s="23">
        <v>72</v>
      </c>
      <c r="C68" s="63">
        <f>IFERROR(SUMIFS('tuot-PVÄ'!C$3:C$604,'tuot-PVÄ'!$B$3:$B$604,$B68),)</f>
        <v>0</v>
      </c>
      <c r="D68" s="63">
        <f>IFERROR(SUMIFS('tuot-PVÄ'!D$3:D$604,'tuot-PVÄ'!$B$3:$B$604,$B68),)</f>
        <v>0</v>
      </c>
      <c r="E68" s="63">
        <f>IFERROR(SUMIFS('tuot-PVÄ'!I$3:I$604,'tuot-PVÄ'!$B$3:$B$604,$B68),)</f>
        <v>0</v>
      </c>
      <c r="F68" s="63">
        <f>IFERROR(AVERAGEIFS('tuot-PVÄ'!J$3:J$604,'tuot-PVÄ'!$B$3:$B$604,$B68),)</f>
        <v>0</v>
      </c>
      <c r="G68" s="63">
        <f>IFERROR(AVERAGEIFS('tuot-PVÄ'!K$3:K$604,'tuot-PVÄ'!$B$3:$B$604,$B68),)</f>
        <v>0</v>
      </c>
      <c r="H68" s="167"/>
      <c r="I68" s="167">
        <f>IFERROR(AVERAGEIFS('tuot-PVÄ'!L$3:L$604,'tuot-PVÄ'!$B$3:$B$604,$B68),)</f>
        <v>0</v>
      </c>
      <c r="J68" s="167"/>
      <c r="K68" s="167">
        <f>IFERROR(AVERAGEIFS('tuot-PVÄ'!M$3:M$604,'tuot-PVÄ'!$B$3:$B$604,$B68),)</f>
        <v>0</v>
      </c>
      <c r="L68" s="30"/>
      <c r="M68" s="12"/>
      <c r="N68" s="42"/>
      <c r="O68" s="12"/>
      <c r="P68" s="12"/>
      <c r="Q68" s="12"/>
    </row>
    <row r="69" spans="1:17" x14ac:dyDescent="0.25">
      <c r="A69" s="43">
        <f t="shared" si="0"/>
        <v>42881</v>
      </c>
      <c r="B69" s="23">
        <v>73</v>
      </c>
      <c r="C69" s="63">
        <f>IFERROR(SUMIFS('tuot-PVÄ'!C$3:C$604,'tuot-PVÄ'!$B$3:$B$604,$B69),)</f>
        <v>0</v>
      </c>
      <c r="D69" s="63">
        <f>IFERROR(SUMIFS('tuot-PVÄ'!D$3:D$604,'tuot-PVÄ'!$B$3:$B$604,$B69),)</f>
        <v>0</v>
      </c>
      <c r="E69" s="63">
        <f>IFERROR(SUMIFS('tuot-PVÄ'!I$3:I$604,'tuot-PVÄ'!$B$3:$B$604,$B69),)</f>
        <v>0</v>
      </c>
      <c r="F69" s="63">
        <f>IFERROR(AVERAGEIFS('tuot-PVÄ'!J$3:J$604,'tuot-PVÄ'!$B$3:$B$604,$B69),)</f>
        <v>0</v>
      </c>
      <c r="G69" s="63">
        <f>IFERROR(AVERAGEIFS('tuot-PVÄ'!K$3:K$604,'tuot-PVÄ'!$B$3:$B$604,$B69),)</f>
        <v>0</v>
      </c>
      <c r="H69" s="167"/>
      <c r="I69" s="167">
        <f>IFERROR(AVERAGEIFS('tuot-PVÄ'!L$3:L$604,'tuot-PVÄ'!$B$3:$B$604,$B69),)</f>
        <v>0</v>
      </c>
      <c r="J69" s="167"/>
      <c r="K69" s="167">
        <f>IFERROR(AVERAGEIFS('tuot-PVÄ'!M$3:M$604,'tuot-PVÄ'!$B$3:$B$604,$B69),)</f>
        <v>0</v>
      </c>
      <c r="L69" s="30"/>
      <c r="M69" s="44"/>
      <c r="N69" s="45"/>
      <c r="O69" s="46"/>
      <c r="P69" s="46"/>
      <c r="Q69" s="12"/>
    </row>
    <row r="70" spans="1:17" x14ac:dyDescent="0.25">
      <c r="A70" s="43">
        <f t="shared" si="0"/>
        <v>42888</v>
      </c>
      <c r="B70" s="23">
        <v>74</v>
      </c>
      <c r="C70" s="63">
        <f>IFERROR(SUMIFS('tuot-PVÄ'!C$3:C$604,'tuot-PVÄ'!$B$3:$B$604,$B70),)</f>
        <v>0</v>
      </c>
      <c r="D70" s="63">
        <f>IFERROR(SUMIFS('tuot-PVÄ'!D$3:D$604,'tuot-PVÄ'!$B$3:$B$604,$B70),)</f>
        <v>0</v>
      </c>
      <c r="E70" s="63">
        <f>IFERROR(SUMIFS('tuot-PVÄ'!I$3:I$604,'tuot-PVÄ'!$B$3:$B$604,$B70),)</f>
        <v>0</v>
      </c>
      <c r="F70" s="63">
        <f>IFERROR(AVERAGEIFS('tuot-PVÄ'!J$3:J$604,'tuot-PVÄ'!$B$3:$B$604,$B70),)</f>
        <v>0</v>
      </c>
      <c r="G70" s="63">
        <f>IFERROR(AVERAGEIFS('tuot-PVÄ'!K$3:K$604,'tuot-PVÄ'!$B$3:$B$604,$B70),)</f>
        <v>0</v>
      </c>
      <c r="H70" s="167"/>
      <c r="I70" s="167">
        <f>IFERROR(AVERAGEIFS('tuot-PVÄ'!L$3:L$604,'tuot-PVÄ'!$B$3:$B$604,$B70),)</f>
        <v>0</v>
      </c>
      <c r="J70" s="167"/>
      <c r="K70" s="167">
        <f>IFERROR(AVERAGEIFS('tuot-PVÄ'!M$3:M$604,'tuot-PVÄ'!$B$3:$B$604,$B70),)</f>
        <v>0</v>
      </c>
      <c r="L70" s="30"/>
      <c r="M70" s="44"/>
      <c r="N70" s="45"/>
      <c r="O70" s="46"/>
      <c r="P70" s="46"/>
      <c r="Q70" s="12"/>
    </row>
    <row r="71" spans="1:17" x14ac:dyDescent="0.25">
      <c r="A71" s="43">
        <f t="shared" si="0"/>
        <v>42895</v>
      </c>
      <c r="B71" s="23">
        <v>75</v>
      </c>
      <c r="C71" s="63">
        <f>IFERROR(SUMIFS('tuot-PVÄ'!C$3:C$604,'tuot-PVÄ'!$B$3:$B$604,$B71),)</f>
        <v>0</v>
      </c>
      <c r="D71" s="63">
        <f>IFERROR(SUMIFS('tuot-PVÄ'!D$3:D$604,'tuot-PVÄ'!$B$3:$B$604,$B71),)</f>
        <v>0</v>
      </c>
      <c r="E71" s="63">
        <f>IFERROR(SUMIFS('tuot-PVÄ'!I$3:I$604,'tuot-PVÄ'!$B$3:$B$604,$B71),)</f>
        <v>0</v>
      </c>
      <c r="F71" s="63">
        <f>IFERROR(AVERAGEIFS('tuot-PVÄ'!J$3:J$604,'tuot-PVÄ'!$B$3:$B$604,$B71),)</f>
        <v>0</v>
      </c>
      <c r="G71" s="63">
        <f>IFERROR(AVERAGEIFS('tuot-PVÄ'!K$3:K$604,'tuot-PVÄ'!$B$3:$B$604,$B71),)</f>
        <v>0</v>
      </c>
      <c r="H71" s="167"/>
      <c r="I71" s="167">
        <f>IFERROR(AVERAGEIFS('tuot-PVÄ'!L$3:L$604,'tuot-PVÄ'!$B$3:$B$604,$B71),)</f>
        <v>0</v>
      </c>
      <c r="J71" s="167"/>
      <c r="K71" s="167">
        <f>IFERROR(AVERAGEIFS('tuot-PVÄ'!M$3:M$604,'tuot-PVÄ'!$B$3:$B$604,$B71),)</f>
        <v>0</v>
      </c>
      <c r="L71" s="30"/>
      <c r="M71" s="44"/>
      <c r="N71" s="45"/>
      <c r="O71" s="46"/>
      <c r="P71" s="46"/>
      <c r="Q71" s="12"/>
    </row>
    <row r="72" spans="1:17" x14ac:dyDescent="0.25">
      <c r="A72" s="43">
        <f t="shared" si="0"/>
        <v>42902</v>
      </c>
      <c r="B72" s="23">
        <v>76</v>
      </c>
      <c r="C72" s="63">
        <f>IFERROR(SUMIFS('tuot-PVÄ'!C$3:C$604,'tuot-PVÄ'!$B$3:$B$604,$B72),)</f>
        <v>0</v>
      </c>
      <c r="D72" s="63">
        <f>IFERROR(SUMIFS('tuot-PVÄ'!D$3:D$604,'tuot-PVÄ'!$B$3:$B$604,$B72),)</f>
        <v>0</v>
      </c>
      <c r="E72" s="63">
        <f>IFERROR(SUMIFS('tuot-PVÄ'!I$3:I$604,'tuot-PVÄ'!$B$3:$B$604,$B72),)</f>
        <v>0</v>
      </c>
      <c r="F72" s="63">
        <f>IFERROR(AVERAGEIFS('tuot-PVÄ'!J$3:J$604,'tuot-PVÄ'!$B$3:$B$604,$B72),)</f>
        <v>0</v>
      </c>
      <c r="G72" s="63">
        <f>IFERROR(AVERAGEIFS('tuot-PVÄ'!K$3:K$604,'tuot-PVÄ'!$B$3:$B$604,$B72),)</f>
        <v>0</v>
      </c>
      <c r="H72" s="167"/>
      <c r="I72" s="167">
        <f>IFERROR(AVERAGEIFS('tuot-PVÄ'!L$3:L$604,'tuot-PVÄ'!$B$3:$B$604,$B72),)</f>
        <v>0</v>
      </c>
      <c r="J72" s="167"/>
      <c r="K72" s="167">
        <f>IFERROR(AVERAGEIFS('tuot-PVÄ'!M$3:M$604,'tuot-PVÄ'!$B$3:$B$604,$B72),)</f>
        <v>0</v>
      </c>
      <c r="L72" s="30"/>
      <c r="M72" s="44"/>
      <c r="N72" s="45"/>
      <c r="O72" s="46"/>
      <c r="P72" s="46"/>
      <c r="Q72" s="12"/>
    </row>
    <row r="73" spans="1:17" x14ac:dyDescent="0.25">
      <c r="A73" s="43">
        <f t="shared" si="0"/>
        <v>42909</v>
      </c>
      <c r="B73" s="23">
        <v>77</v>
      </c>
      <c r="C73" s="63">
        <f>IFERROR(SUMIFS('tuot-PVÄ'!C$3:C$604,'tuot-PVÄ'!$B$3:$B$604,$B73),)</f>
        <v>0</v>
      </c>
      <c r="D73" s="63">
        <f>IFERROR(SUMIFS('tuot-PVÄ'!D$3:D$604,'tuot-PVÄ'!$B$3:$B$604,$B73),)</f>
        <v>0</v>
      </c>
      <c r="E73" s="63">
        <f>IFERROR(SUMIFS('tuot-PVÄ'!I$3:I$604,'tuot-PVÄ'!$B$3:$B$604,$B73),)</f>
        <v>0</v>
      </c>
      <c r="F73" s="63">
        <f>IFERROR(AVERAGEIFS('tuot-PVÄ'!J$3:J$604,'tuot-PVÄ'!$B$3:$B$604,$B73),)</f>
        <v>0</v>
      </c>
      <c r="G73" s="63">
        <f>IFERROR(AVERAGEIFS('tuot-PVÄ'!K$3:K$604,'tuot-PVÄ'!$B$3:$B$604,$B73),)</f>
        <v>0</v>
      </c>
      <c r="H73" s="167"/>
      <c r="I73" s="167">
        <f>IFERROR(AVERAGEIFS('tuot-PVÄ'!L$3:L$604,'tuot-PVÄ'!$B$3:$B$604,$B73),)</f>
        <v>0</v>
      </c>
      <c r="J73" s="167"/>
      <c r="K73" s="167">
        <f>IFERROR(AVERAGEIFS('tuot-PVÄ'!M$3:M$604,'tuot-PVÄ'!$B$3:$B$604,$B73),)</f>
        <v>0</v>
      </c>
      <c r="L73" s="30"/>
      <c r="M73" s="44"/>
      <c r="N73" s="45"/>
      <c r="O73" s="46"/>
      <c r="P73" s="46"/>
      <c r="Q73" s="12"/>
    </row>
    <row r="74" spans="1:17" x14ac:dyDescent="0.25">
      <c r="A74" s="43">
        <f t="shared" si="0"/>
        <v>42916</v>
      </c>
      <c r="B74" s="23">
        <v>78</v>
      </c>
      <c r="C74" s="63">
        <f>IFERROR(SUMIFS('tuot-PVÄ'!C$3:C$604,'tuot-PVÄ'!$B$3:$B$604,$B74),)</f>
        <v>0</v>
      </c>
      <c r="D74" s="63">
        <f>IFERROR(SUMIFS('tuot-PVÄ'!D$3:D$604,'tuot-PVÄ'!$B$3:$B$604,$B74),)</f>
        <v>0</v>
      </c>
      <c r="E74" s="63">
        <f>IFERROR(SUMIFS('tuot-PVÄ'!I$3:I$604,'tuot-PVÄ'!$B$3:$B$604,$B74),)</f>
        <v>0</v>
      </c>
      <c r="F74" s="63">
        <f>IFERROR(AVERAGEIFS('tuot-PVÄ'!J$3:J$604,'tuot-PVÄ'!$B$3:$B$604,$B74),)</f>
        <v>0</v>
      </c>
      <c r="G74" s="63">
        <f>IFERROR(AVERAGEIFS('tuot-PVÄ'!K$3:K$604,'tuot-PVÄ'!$B$3:$B$604,$B74),)</f>
        <v>0</v>
      </c>
      <c r="H74" s="167"/>
      <c r="I74" s="167">
        <f>IFERROR(AVERAGEIFS('tuot-PVÄ'!L$3:L$604,'tuot-PVÄ'!$B$3:$B$604,$B74),)</f>
        <v>0</v>
      </c>
      <c r="J74" s="167"/>
      <c r="K74" s="167">
        <f>IFERROR(AVERAGEIFS('tuot-PVÄ'!M$3:M$604,'tuot-PVÄ'!$B$3:$B$604,$B74),)</f>
        <v>0</v>
      </c>
      <c r="L74" s="30"/>
      <c r="M74" s="44"/>
      <c r="N74" s="45"/>
      <c r="O74" s="46"/>
      <c r="P74" s="46"/>
      <c r="Q74" s="12"/>
    </row>
    <row r="75" spans="1:17" x14ac:dyDescent="0.25">
      <c r="A75" s="43">
        <f t="shared" si="0"/>
        <v>42923</v>
      </c>
      <c r="B75" s="23">
        <v>79</v>
      </c>
      <c r="C75" s="63">
        <f>IFERROR(SUMIFS('tuot-PVÄ'!C$3:C$604,'tuot-PVÄ'!$B$3:$B$604,$B75),)</f>
        <v>0</v>
      </c>
      <c r="D75" s="63">
        <f>IFERROR(SUMIFS('tuot-PVÄ'!D$3:D$604,'tuot-PVÄ'!$B$3:$B$604,$B75),)</f>
        <v>0</v>
      </c>
      <c r="E75" s="63">
        <f>IFERROR(SUMIFS('tuot-PVÄ'!I$3:I$604,'tuot-PVÄ'!$B$3:$B$604,$B75),)</f>
        <v>0</v>
      </c>
      <c r="F75" s="63">
        <f>IFERROR(AVERAGEIFS('tuot-PVÄ'!J$3:J$604,'tuot-PVÄ'!$B$3:$B$604,$B75),)</f>
        <v>0</v>
      </c>
      <c r="G75" s="63">
        <f>IFERROR(AVERAGEIFS('tuot-PVÄ'!K$3:K$604,'tuot-PVÄ'!$B$3:$B$604,$B75),)</f>
        <v>0</v>
      </c>
      <c r="H75" s="167"/>
      <c r="I75" s="167">
        <f>IFERROR(AVERAGEIFS('tuot-PVÄ'!L$3:L$604,'tuot-PVÄ'!$B$3:$B$604,$B75),)</f>
        <v>0</v>
      </c>
      <c r="J75" s="167"/>
      <c r="K75" s="167">
        <f>IFERROR(AVERAGEIFS('tuot-PVÄ'!M$3:M$604,'tuot-PVÄ'!$B$3:$B$604,$B75),)</f>
        <v>0</v>
      </c>
      <c r="L75" s="30"/>
      <c r="M75" s="44"/>
      <c r="N75" s="45"/>
      <c r="O75" s="46"/>
      <c r="P75" s="46"/>
      <c r="Q75" s="12"/>
    </row>
    <row r="76" spans="1:17" x14ac:dyDescent="0.25">
      <c r="A76" s="43">
        <f t="shared" ref="A76:A116" si="1">IF($J$3&gt;0,$J$3+7*B76, )</f>
        <v>42930</v>
      </c>
      <c r="B76" s="23">
        <v>80</v>
      </c>
      <c r="C76" s="63">
        <f>IFERROR(SUMIFS('tuot-PVÄ'!C$3:C$604,'tuot-PVÄ'!$B$3:$B$604,$B76),)</f>
        <v>0</v>
      </c>
      <c r="D76" s="63">
        <f>IFERROR(SUMIFS('tuot-PVÄ'!D$3:D$604,'tuot-PVÄ'!$B$3:$B$604,$B76),)</f>
        <v>0</v>
      </c>
      <c r="E76" s="63">
        <f>IFERROR(SUMIFS('tuot-PVÄ'!I$3:I$604,'tuot-PVÄ'!$B$3:$B$604,$B76),)</f>
        <v>0</v>
      </c>
      <c r="F76" s="63">
        <f>IFERROR(AVERAGEIFS('tuot-PVÄ'!J$3:J$604,'tuot-PVÄ'!$B$3:$B$604,$B76),)</f>
        <v>0</v>
      </c>
      <c r="G76" s="63">
        <f>IFERROR(AVERAGEIFS('tuot-PVÄ'!K$3:K$604,'tuot-PVÄ'!$B$3:$B$604,$B76),)</f>
        <v>0</v>
      </c>
      <c r="H76" s="167"/>
      <c r="I76" s="167">
        <f>IFERROR(AVERAGEIFS('tuot-PVÄ'!L$3:L$604,'tuot-PVÄ'!$B$3:$B$604,$B76),)</f>
        <v>0</v>
      </c>
      <c r="J76" s="167"/>
      <c r="K76" s="167">
        <f>IFERROR(AVERAGEIFS('tuot-PVÄ'!M$3:M$604,'tuot-PVÄ'!$B$3:$B$604,$B76),)</f>
        <v>0</v>
      </c>
      <c r="L76" s="31"/>
      <c r="M76" s="44"/>
      <c r="N76" s="45"/>
      <c r="O76" s="46"/>
      <c r="P76" s="46"/>
      <c r="Q76" s="12"/>
    </row>
    <row r="77" spans="1:17" x14ac:dyDescent="0.25">
      <c r="A77" s="43">
        <f t="shared" si="1"/>
        <v>42937</v>
      </c>
      <c r="B77" s="23">
        <v>81</v>
      </c>
      <c r="C77" s="63">
        <f>IFERROR(SUMIFS('tuot-PVÄ'!C$3:C$604,'tuot-PVÄ'!$B$3:$B$604,$B77),)</f>
        <v>0</v>
      </c>
      <c r="D77" s="63">
        <f>IFERROR(SUMIFS('tuot-PVÄ'!D$3:D$604,'tuot-PVÄ'!$B$3:$B$604,$B77),)</f>
        <v>0</v>
      </c>
      <c r="E77" s="63">
        <f>IFERROR(SUMIFS('tuot-PVÄ'!I$3:I$604,'tuot-PVÄ'!$B$3:$B$604,$B77),)</f>
        <v>0</v>
      </c>
      <c r="F77" s="63">
        <f>IFERROR(AVERAGEIFS('tuot-PVÄ'!J$3:J$604,'tuot-PVÄ'!$B$3:$B$604,$B77),)</f>
        <v>0</v>
      </c>
      <c r="G77" s="63">
        <f>IFERROR(AVERAGEIFS('tuot-PVÄ'!K$3:K$604,'tuot-PVÄ'!$B$3:$B$604,$B77),)</f>
        <v>0</v>
      </c>
      <c r="H77" s="167"/>
      <c r="I77" s="167">
        <f>IFERROR(AVERAGEIFS('tuot-PVÄ'!L$3:L$604,'tuot-PVÄ'!$B$3:$B$604,$B77),)</f>
        <v>0</v>
      </c>
      <c r="J77" s="167"/>
      <c r="K77" s="167">
        <f>IFERROR(AVERAGEIFS('tuot-PVÄ'!M$3:M$604,'tuot-PVÄ'!$B$3:$B$604,$B77),)</f>
        <v>0</v>
      </c>
      <c r="L77" s="30"/>
      <c r="M77" s="44"/>
      <c r="N77" s="45"/>
      <c r="O77" s="46"/>
      <c r="P77" s="46"/>
      <c r="Q77" s="12"/>
    </row>
    <row r="78" spans="1:17" x14ac:dyDescent="0.25">
      <c r="A78" s="43">
        <f t="shared" si="1"/>
        <v>42944</v>
      </c>
      <c r="B78" s="23">
        <v>82</v>
      </c>
      <c r="C78" s="63">
        <f>IFERROR(SUMIFS('tuot-PVÄ'!C$3:C$604,'tuot-PVÄ'!$B$3:$B$604,$B78),)</f>
        <v>0</v>
      </c>
      <c r="D78" s="63">
        <f>IFERROR(SUMIFS('tuot-PVÄ'!D$3:D$604,'tuot-PVÄ'!$B$3:$B$604,$B78),)</f>
        <v>0</v>
      </c>
      <c r="E78" s="63">
        <f>IFERROR(SUMIFS('tuot-PVÄ'!I$3:I$604,'tuot-PVÄ'!$B$3:$B$604,$B78),)</f>
        <v>0</v>
      </c>
      <c r="F78" s="63">
        <f>IFERROR(AVERAGEIFS('tuot-PVÄ'!J$3:J$604,'tuot-PVÄ'!$B$3:$B$604,$B78),)</f>
        <v>0</v>
      </c>
      <c r="G78" s="63">
        <f>IFERROR(AVERAGEIFS('tuot-PVÄ'!K$3:K$604,'tuot-PVÄ'!$B$3:$B$604,$B78),)</f>
        <v>0</v>
      </c>
      <c r="H78" s="167"/>
      <c r="I78" s="167">
        <f>IFERROR(AVERAGEIFS('tuot-PVÄ'!L$3:L$604,'tuot-PVÄ'!$B$3:$B$604,$B78),)</f>
        <v>0</v>
      </c>
      <c r="J78" s="167"/>
      <c r="K78" s="167">
        <f>IFERROR(AVERAGEIFS('tuot-PVÄ'!M$3:M$604,'tuot-PVÄ'!$B$3:$B$604,$B78),)</f>
        <v>0</v>
      </c>
      <c r="L78" s="30"/>
      <c r="M78" s="44"/>
      <c r="N78" s="45"/>
      <c r="O78" s="46"/>
      <c r="P78" s="46"/>
      <c r="Q78" s="12"/>
    </row>
    <row r="79" spans="1:17" x14ac:dyDescent="0.25">
      <c r="A79" s="43">
        <f t="shared" si="1"/>
        <v>42951</v>
      </c>
      <c r="B79" s="23">
        <v>83</v>
      </c>
      <c r="C79" s="63">
        <f>IFERROR(SUMIFS('tuot-PVÄ'!C$3:C$604,'tuot-PVÄ'!$B$3:$B$604,$B79),)</f>
        <v>0</v>
      </c>
      <c r="D79" s="63">
        <f>IFERROR(SUMIFS('tuot-PVÄ'!D$3:D$604,'tuot-PVÄ'!$B$3:$B$604,$B79),)</f>
        <v>0</v>
      </c>
      <c r="E79" s="63">
        <f>IFERROR(SUMIFS('tuot-PVÄ'!I$3:I$604,'tuot-PVÄ'!$B$3:$B$604,$B79),)</f>
        <v>0</v>
      </c>
      <c r="F79" s="63">
        <f>IFERROR(AVERAGEIFS('tuot-PVÄ'!J$3:J$604,'tuot-PVÄ'!$B$3:$B$604,$B79),)</f>
        <v>0</v>
      </c>
      <c r="G79" s="63">
        <f>IFERROR(AVERAGEIFS('tuot-PVÄ'!K$3:K$604,'tuot-PVÄ'!$B$3:$B$604,$B79),)</f>
        <v>0</v>
      </c>
      <c r="H79" s="167"/>
      <c r="I79" s="167">
        <f>IFERROR(AVERAGEIFS('tuot-PVÄ'!L$3:L$604,'tuot-PVÄ'!$B$3:$B$604,$B79),)</f>
        <v>0</v>
      </c>
      <c r="J79" s="167"/>
      <c r="K79" s="167">
        <f>IFERROR(AVERAGEIFS('tuot-PVÄ'!M$3:M$604,'tuot-PVÄ'!$B$3:$B$604,$B79),)</f>
        <v>0</v>
      </c>
      <c r="L79" s="30"/>
      <c r="M79" s="44"/>
      <c r="N79" s="45"/>
      <c r="O79" s="46"/>
      <c r="P79" s="46"/>
      <c r="Q79" s="12"/>
    </row>
    <row r="80" spans="1:17" x14ac:dyDescent="0.25">
      <c r="A80" s="43">
        <f t="shared" si="1"/>
        <v>42958</v>
      </c>
      <c r="B80" s="23">
        <v>84</v>
      </c>
      <c r="C80" s="63">
        <f>IFERROR(SUMIFS('tuot-PVÄ'!C$3:C$604,'tuot-PVÄ'!$B$3:$B$604,$B80),)</f>
        <v>0</v>
      </c>
      <c r="D80" s="63">
        <f>IFERROR(SUMIFS('tuot-PVÄ'!D$3:D$604,'tuot-PVÄ'!$B$3:$B$604,$B80),)</f>
        <v>0</v>
      </c>
      <c r="E80" s="63">
        <f>IFERROR(SUMIFS('tuot-PVÄ'!I$3:I$604,'tuot-PVÄ'!$B$3:$B$604,$B80),)</f>
        <v>0</v>
      </c>
      <c r="F80" s="63">
        <f>IFERROR(AVERAGEIFS('tuot-PVÄ'!J$3:J$604,'tuot-PVÄ'!$B$3:$B$604,$B80),)</f>
        <v>0</v>
      </c>
      <c r="G80" s="63">
        <f>IFERROR(AVERAGEIFS('tuot-PVÄ'!K$3:K$604,'tuot-PVÄ'!$B$3:$B$604,$B80),)</f>
        <v>0</v>
      </c>
      <c r="H80" s="167"/>
      <c r="I80" s="167">
        <f>IFERROR(AVERAGEIFS('tuot-PVÄ'!L$3:L$604,'tuot-PVÄ'!$B$3:$B$604,$B80),)</f>
        <v>0</v>
      </c>
      <c r="J80" s="167"/>
      <c r="K80" s="167">
        <f>IFERROR(AVERAGEIFS('tuot-PVÄ'!M$3:M$604,'tuot-PVÄ'!$B$3:$B$604,$B80),)</f>
        <v>0</v>
      </c>
      <c r="L80" s="30"/>
      <c r="M80" s="44"/>
      <c r="N80" s="45"/>
      <c r="O80" s="46"/>
      <c r="P80" s="46"/>
      <c r="Q80" s="12"/>
    </row>
    <row r="81" spans="1:17" x14ac:dyDescent="0.25">
      <c r="A81" s="43">
        <f t="shared" si="1"/>
        <v>42965</v>
      </c>
      <c r="B81" s="23">
        <v>85</v>
      </c>
      <c r="C81" s="63">
        <f>IFERROR(SUMIFS('tuot-PVÄ'!C$3:C$604,'tuot-PVÄ'!$B$3:$B$604,$B81),)</f>
        <v>0</v>
      </c>
      <c r="D81" s="63">
        <f>IFERROR(SUMIFS('tuot-PVÄ'!D$3:D$604,'tuot-PVÄ'!$B$3:$B$604,$B81),)</f>
        <v>0</v>
      </c>
      <c r="E81" s="63">
        <f>IFERROR(SUMIFS('tuot-PVÄ'!I$3:I$604,'tuot-PVÄ'!$B$3:$B$604,$B81),)</f>
        <v>0</v>
      </c>
      <c r="F81" s="63">
        <f>IFERROR(AVERAGEIFS('tuot-PVÄ'!J$3:J$604,'tuot-PVÄ'!$B$3:$B$604,$B81),)</f>
        <v>0</v>
      </c>
      <c r="G81" s="63">
        <f>IFERROR(AVERAGEIFS('tuot-PVÄ'!K$3:K$604,'tuot-PVÄ'!$B$3:$B$604,$B81),)</f>
        <v>0</v>
      </c>
      <c r="H81" s="167"/>
      <c r="I81" s="167">
        <f>IFERROR(AVERAGEIFS('tuot-PVÄ'!L$3:L$604,'tuot-PVÄ'!$B$3:$B$604,$B81),)</f>
        <v>0</v>
      </c>
      <c r="J81" s="167"/>
      <c r="K81" s="167">
        <f>IFERROR(AVERAGEIFS('tuot-PVÄ'!M$3:M$604,'tuot-PVÄ'!$B$3:$B$604,$B81),)</f>
        <v>0</v>
      </c>
      <c r="L81" s="30"/>
      <c r="M81" s="44"/>
      <c r="N81" s="45"/>
      <c r="O81" s="46"/>
      <c r="P81" s="46"/>
      <c r="Q81" s="12"/>
    </row>
    <row r="82" spans="1:17" x14ac:dyDescent="0.25">
      <c r="A82" s="43">
        <f t="shared" si="1"/>
        <v>42972</v>
      </c>
      <c r="B82" s="23">
        <v>86</v>
      </c>
      <c r="C82" s="63">
        <f>IFERROR(SUMIFS('tuot-PVÄ'!C$3:C$604,'tuot-PVÄ'!$B$3:$B$604,$B82),)</f>
        <v>0</v>
      </c>
      <c r="D82" s="63">
        <f>IFERROR(SUMIFS('tuot-PVÄ'!D$3:D$604,'tuot-PVÄ'!$B$3:$B$604,$B82),)</f>
        <v>0</v>
      </c>
      <c r="E82" s="63">
        <f>IFERROR(SUMIFS('tuot-PVÄ'!I$3:I$604,'tuot-PVÄ'!$B$3:$B$604,$B82),)</f>
        <v>0</v>
      </c>
      <c r="F82" s="63">
        <f>IFERROR(AVERAGEIFS('tuot-PVÄ'!J$3:J$604,'tuot-PVÄ'!$B$3:$B$604,$B82),)</f>
        <v>0</v>
      </c>
      <c r="G82" s="63">
        <f>IFERROR(AVERAGEIFS('tuot-PVÄ'!K$3:K$604,'tuot-PVÄ'!$B$3:$B$604,$B82),)</f>
        <v>0</v>
      </c>
      <c r="H82" s="167"/>
      <c r="I82" s="167">
        <f>IFERROR(AVERAGEIFS('tuot-PVÄ'!L$3:L$604,'tuot-PVÄ'!$B$3:$B$604,$B82),)</f>
        <v>0</v>
      </c>
      <c r="J82" s="167"/>
      <c r="K82" s="167">
        <f>IFERROR(AVERAGEIFS('tuot-PVÄ'!M$3:M$604,'tuot-PVÄ'!$B$3:$B$604,$B82),)</f>
        <v>0</v>
      </c>
      <c r="L82" s="30"/>
      <c r="M82" s="44"/>
      <c r="N82" s="45"/>
      <c r="O82" s="46"/>
      <c r="P82" s="46"/>
      <c r="Q82" s="12"/>
    </row>
    <row r="83" spans="1:17" x14ac:dyDescent="0.25">
      <c r="A83" s="43">
        <f t="shared" si="1"/>
        <v>42979</v>
      </c>
      <c r="B83" s="23">
        <v>87</v>
      </c>
      <c r="C83" s="63">
        <f>IFERROR(SUMIFS('tuot-PVÄ'!C$3:C$604,'tuot-PVÄ'!$B$3:$B$604,$B83),)</f>
        <v>0</v>
      </c>
      <c r="D83" s="63">
        <f>IFERROR(SUMIFS('tuot-PVÄ'!D$3:D$604,'tuot-PVÄ'!$B$3:$B$604,$B83),)</f>
        <v>0</v>
      </c>
      <c r="E83" s="63">
        <f>IFERROR(SUMIFS('tuot-PVÄ'!I$3:I$604,'tuot-PVÄ'!$B$3:$B$604,$B83),)</f>
        <v>0</v>
      </c>
      <c r="F83" s="63">
        <f>IFERROR(AVERAGEIFS('tuot-PVÄ'!J$3:J$604,'tuot-PVÄ'!$B$3:$B$604,$B83),)</f>
        <v>0</v>
      </c>
      <c r="G83" s="63">
        <f>IFERROR(AVERAGEIFS('tuot-PVÄ'!K$3:K$604,'tuot-PVÄ'!$B$3:$B$604,$B83),)</f>
        <v>0</v>
      </c>
      <c r="H83" s="167"/>
      <c r="I83" s="167">
        <f>IFERROR(AVERAGEIFS('tuot-PVÄ'!L$3:L$604,'tuot-PVÄ'!$B$3:$B$604,$B83),)</f>
        <v>0</v>
      </c>
      <c r="J83" s="167"/>
      <c r="K83" s="167">
        <f>IFERROR(AVERAGEIFS('tuot-PVÄ'!M$3:M$604,'tuot-PVÄ'!$B$3:$B$604,$B83),)</f>
        <v>0</v>
      </c>
      <c r="L83" s="30"/>
      <c r="M83" s="44"/>
      <c r="N83" s="45"/>
      <c r="O83" s="46"/>
      <c r="P83" s="46"/>
      <c r="Q83" s="12"/>
    </row>
    <row r="84" spans="1:17" x14ac:dyDescent="0.25">
      <c r="A84" s="43">
        <f t="shared" si="1"/>
        <v>42986</v>
      </c>
      <c r="B84" s="23">
        <v>88</v>
      </c>
      <c r="C84" s="63">
        <f>IFERROR(SUMIFS('tuot-PVÄ'!C$3:C$604,'tuot-PVÄ'!$B$3:$B$604,$B84),)</f>
        <v>0</v>
      </c>
      <c r="D84" s="63">
        <f>IFERROR(SUMIFS('tuot-PVÄ'!D$3:D$604,'tuot-PVÄ'!$B$3:$B$604,$B84),)</f>
        <v>0</v>
      </c>
      <c r="E84" s="63">
        <f>IFERROR(SUMIFS('tuot-PVÄ'!I$3:I$604,'tuot-PVÄ'!$B$3:$B$604,$B84),)</f>
        <v>0</v>
      </c>
      <c r="F84" s="63">
        <f>IFERROR(AVERAGEIFS('tuot-PVÄ'!J$3:J$604,'tuot-PVÄ'!$B$3:$B$604,$B84),)</f>
        <v>0</v>
      </c>
      <c r="G84" s="63">
        <f>IFERROR(AVERAGEIFS('tuot-PVÄ'!K$3:K$604,'tuot-PVÄ'!$B$3:$B$604,$B84),)</f>
        <v>0</v>
      </c>
      <c r="H84" s="167"/>
      <c r="I84" s="167">
        <f>IFERROR(AVERAGEIFS('tuot-PVÄ'!L$3:L$604,'tuot-PVÄ'!$B$3:$B$604,$B84),)</f>
        <v>0</v>
      </c>
      <c r="J84" s="167"/>
      <c r="K84" s="167">
        <f>IFERROR(AVERAGEIFS('tuot-PVÄ'!M$3:M$604,'tuot-PVÄ'!$B$3:$B$604,$B84),)</f>
        <v>0</v>
      </c>
      <c r="L84" s="30"/>
      <c r="M84" s="44"/>
      <c r="N84" s="45"/>
      <c r="O84" s="46"/>
      <c r="P84" s="46"/>
      <c r="Q84" s="12"/>
    </row>
    <row r="85" spans="1:17" x14ac:dyDescent="0.25">
      <c r="A85" s="43">
        <f t="shared" si="1"/>
        <v>42993</v>
      </c>
      <c r="B85" s="23">
        <v>89</v>
      </c>
      <c r="C85" s="63">
        <f>IFERROR(SUMIFS('tuot-PVÄ'!C$3:C$604,'tuot-PVÄ'!$B$3:$B$604,$B85),)</f>
        <v>0</v>
      </c>
      <c r="D85" s="63">
        <f>IFERROR(SUMIFS('tuot-PVÄ'!D$3:D$604,'tuot-PVÄ'!$B$3:$B$604,$B85),)</f>
        <v>0</v>
      </c>
      <c r="E85" s="63">
        <f>IFERROR(SUMIFS('tuot-PVÄ'!I$3:I$604,'tuot-PVÄ'!$B$3:$B$604,$B85),)</f>
        <v>0</v>
      </c>
      <c r="F85" s="63">
        <f>IFERROR(AVERAGEIFS('tuot-PVÄ'!J$3:J$604,'tuot-PVÄ'!$B$3:$B$604,$B85),)</f>
        <v>0</v>
      </c>
      <c r="G85" s="63">
        <f>IFERROR(AVERAGEIFS('tuot-PVÄ'!K$3:K$604,'tuot-PVÄ'!$B$3:$B$604,$B85),)</f>
        <v>0</v>
      </c>
      <c r="H85" s="167"/>
      <c r="I85" s="167">
        <f>IFERROR(AVERAGEIFS('tuot-PVÄ'!L$3:L$604,'tuot-PVÄ'!$B$3:$B$604,$B85),)</f>
        <v>0</v>
      </c>
      <c r="J85" s="167"/>
      <c r="K85" s="167">
        <f>IFERROR(AVERAGEIFS('tuot-PVÄ'!M$3:M$604,'tuot-PVÄ'!$B$3:$B$604,$B85),)</f>
        <v>0</v>
      </c>
      <c r="L85" s="30"/>
      <c r="M85" s="44"/>
      <c r="N85" s="45"/>
      <c r="O85" s="46"/>
      <c r="P85" s="46"/>
      <c r="Q85" s="12"/>
    </row>
    <row r="86" spans="1:17" x14ac:dyDescent="0.25">
      <c r="A86" s="43">
        <f t="shared" si="1"/>
        <v>43000</v>
      </c>
      <c r="B86" s="23">
        <v>90</v>
      </c>
      <c r="C86" s="63">
        <f>IFERROR(SUMIFS('tuot-PVÄ'!C$3:C$604,'tuot-PVÄ'!$B$3:$B$604,$B86),)</f>
        <v>0</v>
      </c>
      <c r="D86" s="63">
        <f>IFERROR(SUMIFS('tuot-PVÄ'!D$3:D$604,'tuot-PVÄ'!$B$3:$B$604,$B86),)</f>
        <v>0</v>
      </c>
      <c r="E86" s="63">
        <f>IFERROR(SUMIFS('tuot-PVÄ'!I$3:I$604,'tuot-PVÄ'!$B$3:$B$604,$B86),)</f>
        <v>0</v>
      </c>
      <c r="F86" s="63">
        <f>IFERROR(AVERAGEIFS('tuot-PVÄ'!J$3:J$604,'tuot-PVÄ'!$B$3:$B$604,$B86),)</f>
        <v>0</v>
      </c>
      <c r="G86" s="63">
        <f>IFERROR(AVERAGEIFS('tuot-PVÄ'!K$3:K$604,'tuot-PVÄ'!$B$3:$B$604,$B86),)</f>
        <v>0</v>
      </c>
      <c r="H86" s="167"/>
      <c r="I86" s="167">
        <f>IFERROR(AVERAGEIFS('tuot-PVÄ'!L$3:L$604,'tuot-PVÄ'!$B$3:$B$604,$B86),)</f>
        <v>0</v>
      </c>
      <c r="J86" s="167"/>
      <c r="K86" s="167">
        <f>IFERROR(AVERAGEIFS('tuot-PVÄ'!M$3:M$604,'tuot-PVÄ'!$B$3:$B$604,$B86),)</f>
        <v>0</v>
      </c>
      <c r="L86" s="30"/>
      <c r="M86" s="44"/>
      <c r="N86" s="45"/>
      <c r="O86" s="46"/>
      <c r="P86" s="46"/>
      <c r="Q86" s="12"/>
    </row>
    <row r="87" spans="1:17" x14ac:dyDescent="0.25">
      <c r="A87" s="43">
        <f t="shared" si="1"/>
        <v>43007</v>
      </c>
      <c r="B87" s="23">
        <v>91</v>
      </c>
      <c r="C87" s="63">
        <f>IFERROR(SUMIFS('tuot-PVÄ'!C$3:C$604,'tuot-PVÄ'!$B$3:$B$604,$B87),)</f>
        <v>0</v>
      </c>
      <c r="D87" s="63">
        <f>IFERROR(SUMIFS('tuot-PVÄ'!D$3:D$604,'tuot-PVÄ'!$B$3:$B$604,$B87),)</f>
        <v>0</v>
      </c>
      <c r="E87" s="63">
        <f>IFERROR(SUMIFS('tuot-PVÄ'!I$3:I$604,'tuot-PVÄ'!$B$3:$B$604,$B87),)</f>
        <v>0</v>
      </c>
      <c r="F87" s="63">
        <f>IFERROR(AVERAGEIFS('tuot-PVÄ'!J$3:J$604,'tuot-PVÄ'!$B$3:$B$604,$B87),)</f>
        <v>0</v>
      </c>
      <c r="G87" s="63">
        <f>IFERROR(AVERAGEIFS('tuot-PVÄ'!K$3:K$604,'tuot-PVÄ'!$B$3:$B$604,$B87),)</f>
        <v>0</v>
      </c>
      <c r="H87" s="167"/>
      <c r="I87" s="167">
        <f>IFERROR(AVERAGEIFS('tuot-PVÄ'!L$3:L$604,'tuot-PVÄ'!$B$3:$B$604,$B87),)</f>
        <v>0</v>
      </c>
      <c r="J87" s="167"/>
      <c r="K87" s="167">
        <f>IFERROR(AVERAGEIFS('tuot-PVÄ'!M$3:M$604,'tuot-PVÄ'!$B$3:$B$604,$B87),)</f>
        <v>0</v>
      </c>
      <c r="L87" s="30"/>
      <c r="M87" s="44"/>
      <c r="N87" s="45"/>
      <c r="O87" s="46"/>
      <c r="P87" s="46"/>
      <c r="Q87" s="12"/>
    </row>
    <row r="88" spans="1:17" x14ac:dyDescent="0.25">
      <c r="A88" s="43">
        <f t="shared" si="1"/>
        <v>43014</v>
      </c>
      <c r="B88" s="23">
        <v>92</v>
      </c>
      <c r="C88" s="63">
        <f>IFERROR(SUMIFS('tuot-PVÄ'!C$3:C$604,'tuot-PVÄ'!$B$3:$B$604,$B88),)</f>
        <v>0</v>
      </c>
      <c r="D88" s="63">
        <f>IFERROR(SUMIFS('tuot-PVÄ'!D$3:D$604,'tuot-PVÄ'!$B$3:$B$604,$B88),)</f>
        <v>0</v>
      </c>
      <c r="E88" s="63">
        <f>IFERROR(SUMIFS('tuot-PVÄ'!I$3:I$604,'tuot-PVÄ'!$B$3:$B$604,$B88),)</f>
        <v>0</v>
      </c>
      <c r="F88" s="63">
        <f>IFERROR(AVERAGEIFS('tuot-PVÄ'!J$3:J$604,'tuot-PVÄ'!$B$3:$B$604,$B88),)</f>
        <v>0</v>
      </c>
      <c r="G88" s="63">
        <f>IFERROR(AVERAGEIFS('tuot-PVÄ'!K$3:K$604,'tuot-PVÄ'!$B$3:$B$604,$B88),)</f>
        <v>0</v>
      </c>
      <c r="H88" s="167"/>
      <c r="I88" s="167">
        <f>IFERROR(AVERAGEIFS('tuot-PVÄ'!L$3:L$604,'tuot-PVÄ'!$B$3:$B$604,$B88),)</f>
        <v>0</v>
      </c>
      <c r="J88" s="167"/>
      <c r="K88" s="167">
        <f>IFERROR(AVERAGEIFS('tuot-PVÄ'!M$3:M$604,'tuot-PVÄ'!$B$3:$B$604,$B88),)</f>
        <v>0</v>
      </c>
      <c r="L88" s="30"/>
      <c r="M88" s="44"/>
      <c r="N88" s="45"/>
      <c r="O88" s="46"/>
      <c r="P88" s="46"/>
      <c r="Q88" s="12"/>
    </row>
    <row r="89" spans="1:17" x14ac:dyDescent="0.25">
      <c r="A89" s="43">
        <f t="shared" si="1"/>
        <v>43021</v>
      </c>
      <c r="B89" s="23">
        <v>93</v>
      </c>
      <c r="C89" s="63">
        <f>IFERROR(SUMIFS('tuot-PVÄ'!C$3:C$604,'tuot-PVÄ'!$B$3:$B$604,$B89),)</f>
        <v>0</v>
      </c>
      <c r="D89" s="63">
        <f>IFERROR(SUMIFS('tuot-PVÄ'!D$3:D$604,'tuot-PVÄ'!$B$3:$B$604,$B89),)</f>
        <v>0</v>
      </c>
      <c r="E89" s="63">
        <f>IFERROR(SUMIFS('tuot-PVÄ'!I$3:I$604,'tuot-PVÄ'!$B$3:$B$604,$B89),)</f>
        <v>0</v>
      </c>
      <c r="F89" s="63">
        <f>IFERROR(AVERAGEIFS('tuot-PVÄ'!J$3:J$604,'tuot-PVÄ'!$B$3:$B$604,$B89),)</f>
        <v>0</v>
      </c>
      <c r="G89" s="63">
        <f>IFERROR(AVERAGEIFS('tuot-PVÄ'!K$3:K$604,'tuot-PVÄ'!$B$3:$B$604,$B89),)</f>
        <v>0</v>
      </c>
      <c r="H89" s="167"/>
      <c r="I89" s="167">
        <f>IFERROR(AVERAGEIFS('tuot-PVÄ'!L$3:L$604,'tuot-PVÄ'!$B$3:$B$604,$B89),)</f>
        <v>0</v>
      </c>
      <c r="J89" s="167"/>
      <c r="K89" s="167">
        <f>IFERROR(AVERAGEIFS('tuot-PVÄ'!M$3:M$604,'tuot-PVÄ'!$B$3:$B$604,$B89),)</f>
        <v>0</v>
      </c>
      <c r="L89" s="30"/>
      <c r="M89" s="44"/>
      <c r="N89" s="45"/>
      <c r="O89" s="46"/>
      <c r="P89" s="46"/>
      <c r="Q89" s="12"/>
    </row>
    <row r="90" spans="1:17" x14ac:dyDescent="0.25">
      <c r="A90" s="43">
        <f t="shared" si="1"/>
        <v>43028</v>
      </c>
      <c r="B90" s="23">
        <v>94</v>
      </c>
      <c r="C90" s="63">
        <f>IFERROR(SUMIFS('tuot-PVÄ'!C$3:C$604,'tuot-PVÄ'!$B$3:$B$604,$B90),)</f>
        <v>0</v>
      </c>
      <c r="D90" s="63">
        <f>IFERROR(SUMIFS('tuot-PVÄ'!D$3:D$604,'tuot-PVÄ'!$B$3:$B$604,$B90),)</f>
        <v>0</v>
      </c>
      <c r="E90" s="63">
        <f>IFERROR(SUMIFS('tuot-PVÄ'!I$3:I$604,'tuot-PVÄ'!$B$3:$B$604,$B90),)</f>
        <v>0</v>
      </c>
      <c r="F90" s="63">
        <f>IFERROR(AVERAGEIFS('tuot-PVÄ'!J$3:J$604,'tuot-PVÄ'!$B$3:$B$604,$B90),)</f>
        <v>0</v>
      </c>
      <c r="G90" s="63">
        <f>IFERROR(AVERAGEIFS('tuot-PVÄ'!K$3:K$604,'tuot-PVÄ'!$B$3:$B$604,$B90),)</f>
        <v>0</v>
      </c>
      <c r="H90" s="167"/>
      <c r="I90" s="167">
        <f>IFERROR(AVERAGEIFS('tuot-PVÄ'!L$3:L$604,'tuot-PVÄ'!$B$3:$B$604,$B90),)</f>
        <v>0</v>
      </c>
      <c r="J90" s="167"/>
      <c r="K90" s="167">
        <f>IFERROR(AVERAGEIFS('tuot-PVÄ'!M$3:M$604,'tuot-PVÄ'!$B$3:$B$604,$B90),)</f>
        <v>0</v>
      </c>
      <c r="L90" s="30"/>
      <c r="M90" s="44"/>
      <c r="N90" s="45"/>
      <c r="O90" s="46"/>
      <c r="P90" s="46"/>
      <c r="Q90" s="12"/>
    </row>
    <row r="91" spans="1:17" x14ac:dyDescent="0.25">
      <c r="A91" s="43">
        <f t="shared" si="1"/>
        <v>43035</v>
      </c>
      <c r="B91" s="23">
        <v>95</v>
      </c>
      <c r="C91" s="63">
        <f>IFERROR(SUMIFS('tuot-PVÄ'!C$3:C$604,'tuot-PVÄ'!$B$3:$B$604,$B91),)</f>
        <v>0</v>
      </c>
      <c r="D91" s="63">
        <f>IFERROR(SUMIFS('tuot-PVÄ'!D$3:D$604,'tuot-PVÄ'!$B$3:$B$604,$B91),)</f>
        <v>0</v>
      </c>
      <c r="E91" s="63">
        <f>IFERROR(SUMIFS('tuot-PVÄ'!I$3:I$604,'tuot-PVÄ'!$B$3:$B$604,$B91),)</f>
        <v>0</v>
      </c>
      <c r="F91" s="63">
        <f>IFERROR(AVERAGEIFS('tuot-PVÄ'!J$3:J$604,'tuot-PVÄ'!$B$3:$B$604,$B91),)</f>
        <v>0</v>
      </c>
      <c r="G91" s="63">
        <f>IFERROR(AVERAGEIFS('tuot-PVÄ'!K$3:K$604,'tuot-PVÄ'!$B$3:$B$604,$B91),)</f>
        <v>0</v>
      </c>
      <c r="H91" s="167"/>
      <c r="I91" s="167">
        <f>IFERROR(AVERAGEIFS('tuot-PVÄ'!L$3:L$604,'tuot-PVÄ'!$B$3:$B$604,$B91),)</f>
        <v>0</v>
      </c>
      <c r="J91" s="167"/>
      <c r="K91" s="167">
        <f>IFERROR(AVERAGEIFS('tuot-PVÄ'!M$3:M$604,'tuot-PVÄ'!$B$3:$B$604,$B91),)</f>
        <v>0</v>
      </c>
      <c r="L91" s="30"/>
      <c r="M91" s="44"/>
      <c r="N91" s="45"/>
      <c r="O91" s="46"/>
      <c r="P91" s="46"/>
      <c r="Q91" s="12"/>
    </row>
    <row r="92" spans="1:17" x14ac:dyDescent="0.25">
      <c r="A92" s="43">
        <f t="shared" si="1"/>
        <v>43042</v>
      </c>
      <c r="B92" s="23">
        <v>96</v>
      </c>
      <c r="C92" s="63">
        <f>IFERROR(SUMIFS('tuot-PVÄ'!C$3:C$604,'tuot-PVÄ'!$B$3:$B$604,$B92),)</f>
        <v>0</v>
      </c>
      <c r="D92" s="63">
        <f>IFERROR(SUMIFS('tuot-PVÄ'!D$3:D$604,'tuot-PVÄ'!$B$3:$B$604,$B92),)</f>
        <v>0</v>
      </c>
      <c r="E92" s="63">
        <f>IFERROR(SUMIFS('tuot-PVÄ'!I$3:I$604,'tuot-PVÄ'!$B$3:$B$604,$B92),)</f>
        <v>0</v>
      </c>
      <c r="F92" s="63">
        <f>IFERROR(AVERAGEIFS('tuot-PVÄ'!J$3:J$604,'tuot-PVÄ'!$B$3:$B$604,$B92),)</f>
        <v>0</v>
      </c>
      <c r="G92" s="63">
        <f>IFERROR(AVERAGEIFS('tuot-PVÄ'!K$3:K$604,'tuot-PVÄ'!$B$3:$B$604,$B92),)</f>
        <v>0</v>
      </c>
      <c r="H92" s="167"/>
      <c r="I92" s="167">
        <f>IFERROR(AVERAGEIFS('tuot-PVÄ'!L$3:L$604,'tuot-PVÄ'!$B$3:$B$604,$B92),)</f>
        <v>0</v>
      </c>
      <c r="J92" s="167"/>
      <c r="K92" s="167">
        <f>IFERROR(AVERAGEIFS('tuot-PVÄ'!M$3:M$604,'tuot-PVÄ'!$B$3:$B$604,$B92),)</f>
        <v>0</v>
      </c>
      <c r="L92" s="30"/>
      <c r="M92" s="44"/>
      <c r="N92" s="45"/>
      <c r="O92" s="46"/>
      <c r="P92" s="46"/>
      <c r="Q92" s="12"/>
    </row>
    <row r="93" spans="1:17" x14ac:dyDescent="0.25">
      <c r="A93" s="43">
        <f t="shared" si="1"/>
        <v>43049</v>
      </c>
      <c r="B93" s="23">
        <v>97</v>
      </c>
      <c r="C93" s="63">
        <f>IFERROR(SUMIFS('tuot-PVÄ'!C$3:C$604,'tuot-PVÄ'!$B$3:$B$604,$B93),)</f>
        <v>0</v>
      </c>
      <c r="D93" s="63">
        <f>IFERROR(SUMIFS('tuot-PVÄ'!D$3:D$604,'tuot-PVÄ'!$B$3:$B$604,$B93),)</f>
        <v>0</v>
      </c>
      <c r="E93" s="63">
        <f>IFERROR(SUMIFS('tuot-PVÄ'!I$3:I$604,'tuot-PVÄ'!$B$3:$B$604,$B93),)</f>
        <v>0</v>
      </c>
      <c r="F93" s="63">
        <f>IFERROR(AVERAGEIFS('tuot-PVÄ'!J$3:J$604,'tuot-PVÄ'!$B$3:$B$604,$B93),)</f>
        <v>0</v>
      </c>
      <c r="G93" s="63">
        <f>IFERROR(AVERAGEIFS('tuot-PVÄ'!K$3:K$604,'tuot-PVÄ'!$B$3:$B$604,$B93),)</f>
        <v>0</v>
      </c>
      <c r="H93" s="167"/>
      <c r="I93" s="167">
        <f>IFERROR(AVERAGEIFS('tuot-PVÄ'!L$3:L$604,'tuot-PVÄ'!$B$3:$B$604,$B93),)</f>
        <v>0</v>
      </c>
      <c r="J93" s="167"/>
      <c r="K93" s="167">
        <f>IFERROR(AVERAGEIFS('tuot-PVÄ'!M$3:M$604,'tuot-PVÄ'!$B$3:$B$604,$B93),)</f>
        <v>0</v>
      </c>
      <c r="L93" s="30"/>
      <c r="M93" s="44"/>
      <c r="N93" s="45"/>
      <c r="O93" s="46"/>
      <c r="P93" s="46"/>
      <c r="Q93" s="12"/>
    </row>
    <row r="94" spans="1:17" x14ac:dyDescent="0.25">
      <c r="A94" s="43">
        <f t="shared" si="1"/>
        <v>43056</v>
      </c>
      <c r="B94" s="23">
        <v>98</v>
      </c>
      <c r="C94" s="63">
        <f>IFERROR(SUMIFS('tuot-PVÄ'!C$3:C$604,'tuot-PVÄ'!$B$3:$B$604,$B94),)</f>
        <v>0</v>
      </c>
      <c r="D94" s="63">
        <f>IFERROR(SUMIFS('tuot-PVÄ'!D$3:D$604,'tuot-PVÄ'!$B$3:$B$604,$B94),)</f>
        <v>0</v>
      </c>
      <c r="E94" s="63">
        <f>IFERROR(SUMIFS('tuot-PVÄ'!I$3:I$604,'tuot-PVÄ'!$B$3:$B$604,$B94),)</f>
        <v>0</v>
      </c>
      <c r="F94" s="63">
        <f>IFERROR(AVERAGEIFS('tuot-PVÄ'!J$3:J$604,'tuot-PVÄ'!$B$3:$B$604,$B94),)</f>
        <v>0</v>
      </c>
      <c r="G94" s="63">
        <f>IFERROR(AVERAGEIFS('tuot-PVÄ'!K$3:K$604,'tuot-PVÄ'!$B$3:$B$604,$B94),)</f>
        <v>0</v>
      </c>
      <c r="H94" s="167"/>
      <c r="I94" s="167">
        <f>IFERROR(AVERAGEIFS('tuot-PVÄ'!L$3:L$604,'tuot-PVÄ'!$B$3:$B$604,$B94),)</f>
        <v>0</v>
      </c>
      <c r="J94" s="167"/>
      <c r="K94" s="167">
        <f>IFERROR(AVERAGEIFS('tuot-PVÄ'!M$3:M$604,'tuot-PVÄ'!$B$3:$B$604,$B94),)</f>
        <v>0</v>
      </c>
      <c r="L94" s="30"/>
      <c r="M94" s="44"/>
      <c r="N94" s="45"/>
      <c r="O94" s="46"/>
      <c r="P94" s="46"/>
      <c r="Q94" s="12"/>
    </row>
    <row r="95" spans="1:17" x14ac:dyDescent="0.25">
      <c r="A95" s="43">
        <f t="shared" si="1"/>
        <v>43063</v>
      </c>
      <c r="B95" s="23">
        <v>99</v>
      </c>
      <c r="C95" s="63">
        <f>IFERROR(SUMIFS('tuot-PVÄ'!C$3:C$604,'tuot-PVÄ'!$B$3:$B$604,$B95),)</f>
        <v>0</v>
      </c>
      <c r="D95" s="63">
        <f>IFERROR(SUMIFS('tuot-PVÄ'!D$3:D$604,'tuot-PVÄ'!$B$3:$B$604,$B95),)</f>
        <v>0</v>
      </c>
      <c r="E95" s="63">
        <f>IFERROR(SUMIFS('tuot-PVÄ'!I$3:I$604,'tuot-PVÄ'!$B$3:$B$604,$B95),)</f>
        <v>0</v>
      </c>
      <c r="F95" s="63">
        <f>IFERROR(AVERAGEIFS('tuot-PVÄ'!J$3:J$604,'tuot-PVÄ'!$B$3:$B$604,$B95),)</f>
        <v>0</v>
      </c>
      <c r="G95" s="63">
        <f>IFERROR(AVERAGEIFS('tuot-PVÄ'!K$3:K$604,'tuot-PVÄ'!$B$3:$B$604,$B95),)</f>
        <v>0</v>
      </c>
      <c r="H95" s="167"/>
      <c r="I95" s="167">
        <f>IFERROR(AVERAGEIFS('tuot-PVÄ'!L$3:L$604,'tuot-PVÄ'!$B$3:$B$604,$B95),)</f>
        <v>0</v>
      </c>
      <c r="J95" s="167"/>
      <c r="K95" s="167">
        <f>IFERROR(AVERAGEIFS('tuot-PVÄ'!M$3:M$604,'tuot-PVÄ'!$B$3:$B$604,$B95),)</f>
        <v>0</v>
      </c>
      <c r="L95" s="30"/>
      <c r="M95" s="44"/>
      <c r="N95" s="45"/>
      <c r="O95" s="46"/>
      <c r="P95" s="46"/>
      <c r="Q95" s="12"/>
    </row>
    <row r="96" spans="1:17" x14ac:dyDescent="0.25">
      <c r="A96" s="43">
        <f t="shared" si="1"/>
        <v>43070</v>
      </c>
      <c r="B96" s="23">
        <v>100</v>
      </c>
      <c r="C96" s="63">
        <f>IFERROR(SUMIFS('tuot-PVÄ'!C$3:C$604,'tuot-PVÄ'!$B$3:$B$604,$B96),)</f>
        <v>0</v>
      </c>
      <c r="D96" s="63">
        <f>IFERROR(SUMIFS('tuot-PVÄ'!D$3:D$604,'tuot-PVÄ'!$B$3:$B$604,$B96),)</f>
        <v>0</v>
      </c>
      <c r="E96" s="63">
        <f>IFERROR(SUMIFS('tuot-PVÄ'!I$3:I$604,'tuot-PVÄ'!$B$3:$B$604,$B96),)</f>
        <v>0</v>
      </c>
      <c r="F96" s="63">
        <f>IFERROR(AVERAGEIFS('tuot-PVÄ'!J$3:J$604,'tuot-PVÄ'!$B$3:$B$604,$B96),)</f>
        <v>0</v>
      </c>
      <c r="G96" s="63">
        <f>IFERROR(AVERAGEIFS('tuot-PVÄ'!K$3:K$604,'tuot-PVÄ'!$B$3:$B$604,$B96),)</f>
        <v>0</v>
      </c>
      <c r="H96" s="167"/>
      <c r="I96" s="167">
        <f>IFERROR(AVERAGEIFS('tuot-PVÄ'!L$3:L$604,'tuot-PVÄ'!$B$3:$B$604,$B96),)</f>
        <v>0</v>
      </c>
      <c r="J96" s="167"/>
      <c r="K96" s="167">
        <f>IFERROR(AVERAGEIFS('tuot-PVÄ'!M$3:M$604,'tuot-PVÄ'!$B$3:$B$604,$B96),)</f>
        <v>0</v>
      </c>
      <c r="L96" s="30"/>
      <c r="M96" s="44"/>
      <c r="N96" s="45"/>
      <c r="O96" s="46"/>
      <c r="P96" s="46"/>
      <c r="Q96" s="12"/>
    </row>
    <row r="97" spans="1:17" x14ac:dyDescent="0.25">
      <c r="A97" s="43">
        <f t="shared" si="1"/>
        <v>43077</v>
      </c>
      <c r="B97" s="23">
        <v>101</v>
      </c>
      <c r="C97" s="63">
        <f>IFERROR(SUMIFS('tuot-PVÄ'!C$3:C$604,'tuot-PVÄ'!$B$3:$B$604,$B97),)</f>
        <v>0</v>
      </c>
      <c r="D97" s="63">
        <f>IFERROR(SUMIFS('tuot-PVÄ'!D$3:D$604,'tuot-PVÄ'!$B$3:$B$604,$B97),)</f>
        <v>0</v>
      </c>
      <c r="E97" s="63">
        <f>IFERROR(SUMIFS('tuot-PVÄ'!I$3:I$604,'tuot-PVÄ'!$B$3:$B$604,$B97),)</f>
        <v>0</v>
      </c>
      <c r="F97" s="63">
        <f>IFERROR(AVERAGEIFS('tuot-PVÄ'!J$3:J$604,'tuot-PVÄ'!$B$3:$B$604,$B97),)</f>
        <v>0</v>
      </c>
      <c r="G97" s="63">
        <f>IFERROR(AVERAGEIFS('tuot-PVÄ'!K$3:K$604,'tuot-PVÄ'!$B$3:$B$604,$B97),)</f>
        <v>0</v>
      </c>
      <c r="H97" s="167"/>
      <c r="I97" s="167">
        <f>IFERROR(AVERAGEIFS('tuot-PVÄ'!L$3:L$604,'tuot-PVÄ'!$B$3:$B$604,$B97),)</f>
        <v>0</v>
      </c>
      <c r="J97" s="167"/>
      <c r="K97" s="167">
        <f>IFERROR(AVERAGEIFS('tuot-PVÄ'!M$3:M$604,'tuot-PVÄ'!$B$3:$B$604,$B97),)</f>
        <v>0</v>
      </c>
      <c r="L97" s="30"/>
      <c r="M97" s="46"/>
      <c r="N97" s="45"/>
      <c r="O97" s="46"/>
      <c r="P97" s="46"/>
      <c r="Q97" s="12"/>
    </row>
    <row r="98" spans="1:17" x14ac:dyDescent="0.25">
      <c r="A98" s="43">
        <f t="shared" si="1"/>
        <v>43084</v>
      </c>
      <c r="B98" s="23">
        <v>102</v>
      </c>
      <c r="C98" s="63">
        <f>IFERROR(SUMIFS('tuot-PVÄ'!C$3:C$604,'tuot-PVÄ'!$B$3:$B$604,$B98),)</f>
        <v>0</v>
      </c>
      <c r="D98" s="63">
        <f>IFERROR(SUMIFS('tuot-PVÄ'!D$3:D$604,'tuot-PVÄ'!$B$3:$B$604,$B98),)</f>
        <v>0</v>
      </c>
      <c r="E98" s="63">
        <f>IFERROR(SUMIFS('tuot-PVÄ'!I$3:I$604,'tuot-PVÄ'!$B$3:$B$604,$B98),)</f>
        <v>0</v>
      </c>
      <c r="F98" s="63">
        <f>IFERROR(AVERAGEIFS('tuot-PVÄ'!J$3:J$604,'tuot-PVÄ'!$B$3:$B$604,$B98),)</f>
        <v>0</v>
      </c>
      <c r="G98" s="63">
        <f>IFERROR(AVERAGEIFS('tuot-PVÄ'!K$3:K$604,'tuot-PVÄ'!$B$3:$B$604,$B98),)</f>
        <v>0</v>
      </c>
      <c r="H98" s="167"/>
      <c r="I98" s="167">
        <f>IFERROR(AVERAGEIFS('tuot-PVÄ'!L$3:L$604,'tuot-PVÄ'!$B$3:$B$604,$B98),)</f>
        <v>0</v>
      </c>
      <c r="J98" s="167"/>
      <c r="K98" s="167">
        <f>IFERROR(AVERAGEIFS('tuot-PVÄ'!M$3:M$604,'tuot-PVÄ'!$B$3:$B$604,$B98),)</f>
        <v>0</v>
      </c>
      <c r="L98" s="30"/>
      <c r="M98" s="46"/>
      <c r="N98" s="45"/>
      <c r="O98" s="46"/>
      <c r="P98" s="46"/>
      <c r="Q98" s="12"/>
    </row>
    <row r="99" spans="1:17" x14ac:dyDescent="0.25">
      <c r="A99" s="43">
        <f t="shared" si="1"/>
        <v>43091</v>
      </c>
      <c r="B99" s="23">
        <v>103</v>
      </c>
      <c r="C99" s="63">
        <f>IFERROR(SUMIFS('tuot-PVÄ'!C$3:C$604,'tuot-PVÄ'!$B$3:$B$604,$B99),)</f>
        <v>0</v>
      </c>
      <c r="D99" s="63">
        <f>IFERROR(SUMIFS('tuot-PVÄ'!D$3:D$604,'tuot-PVÄ'!$B$3:$B$604,$B99),)</f>
        <v>0</v>
      </c>
      <c r="E99" s="63">
        <f>IFERROR(SUMIFS('tuot-PVÄ'!I$3:I$604,'tuot-PVÄ'!$B$3:$B$604,$B99),)</f>
        <v>0</v>
      </c>
      <c r="F99" s="63">
        <f>IFERROR(AVERAGEIFS('tuot-PVÄ'!J$3:J$604,'tuot-PVÄ'!$B$3:$B$604,$B99),)</f>
        <v>0</v>
      </c>
      <c r="G99" s="63">
        <f>IFERROR(AVERAGEIFS('tuot-PVÄ'!K$3:K$604,'tuot-PVÄ'!$B$3:$B$604,$B99),)</f>
        <v>0</v>
      </c>
      <c r="H99" s="167"/>
      <c r="I99" s="167">
        <f>IFERROR(AVERAGEIFS('tuot-PVÄ'!L$3:L$604,'tuot-PVÄ'!$B$3:$B$604,$B99),)</f>
        <v>0</v>
      </c>
      <c r="J99" s="167"/>
      <c r="K99" s="167">
        <f>IFERROR(AVERAGEIFS('tuot-PVÄ'!M$3:M$604,'tuot-PVÄ'!$B$3:$B$604,$B99),)</f>
        <v>0</v>
      </c>
      <c r="L99" s="30"/>
      <c r="M99" s="46"/>
      <c r="N99" s="45"/>
      <c r="O99" s="46"/>
      <c r="P99" s="46"/>
      <c r="Q99" s="12"/>
    </row>
    <row r="100" spans="1:17" x14ac:dyDescent="0.25">
      <c r="A100" s="43">
        <f t="shared" si="1"/>
        <v>43098</v>
      </c>
      <c r="B100" s="23">
        <v>104</v>
      </c>
      <c r="C100" s="63">
        <f>IFERROR(SUMIFS('tuot-PVÄ'!C$3:C$604,'tuot-PVÄ'!$B$3:$B$604,$B100),)</f>
        <v>0</v>
      </c>
      <c r="D100" s="63">
        <f>IFERROR(SUMIFS('tuot-PVÄ'!D$3:D$604,'tuot-PVÄ'!$B$3:$B$604,$B100),)</f>
        <v>0</v>
      </c>
      <c r="E100" s="63">
        <f>IFERROR(SUMIFS('tuot-PVÄ'!I$3:I$604,'tuot-PVÄ'!$B$3:$B$604,$B100),)</f>
        <v>0</v>
      </c>
      <c r="F100" s="63">
        <f>IFERROR(AVERAGEIFS('tuot-PVÄ'!J$3:J$604,'tuot-PVÄ'!$B$3:$B$604,$B100),)</f>
        <v>0</v>
      </c>
      <c r="G100" s="63">
        <f>IFERROR(AVERAGEIFS('tuot-PVÄ'!K$3:K$604,'tuot-PVÄ'!$B$3:$B$604,$B100),)</f>
        <v>0</v>
      </c>
      <c r="H100" s="167"/>
      <c r="I100" s="167">
        <f>IFERROR(AVERAGEIFS('tuot-PVÄ'!L$3:L$604,'tuot-PVÄ'!$B$3:$B$604,$B100),)</f>
        <v>0</v>
      </c>
      <c r="J100" s="167"/>
      <c r="K100" s="167">
        <f>IFERROR(AVERAGEIFS('tuot-PVÄ'!M$3:M$604,'tuot-PVÄ'!$B$3:$B$604,$B100),)</f>
        <v>0</v>
      </c>
      <c r="L100" s="30"/>
      <c r="M100" s="46"/>
      <c r="N100" s="45"/>
      <c r="O100" s="46"/>
      <c r="P100" s="46"/>
      <c r="Q100" s="12"/>
    </row>
    <row r="101" spans="1:17" x14ac:dyDescent="0.25">
      <c r="A101" s="43">
        <f t="shared" si="1"/>
        <v>43105</v>
      </c>
      <c r="B101" s="23">
        <v>105</v>
      </c>
      <c r="C101" s="63">
        <f>IFERROR(SUMIFS('tuot-PVÄ'!C$3:C$604,'tuot-PVÄ'!$B$3:$B$604,$B101),)</f>
        <v>0</v>
      </c>
      <c r="D101" s="63">
        <f>IFERROR(SUMIFS('tuot-PVÄ'!D$3:D$604,'tuot-PVÄ'!$B$3:$B$604,$B101),)</f>
        <v>0</v>
      </c>
      <c r="E101" s="63">
        <f>IFERROR(SUMIFS('tuot-PVÄ'!I$3:I$604,'tuot-PVÄ'!$B$3:$B$604,$B101),)</f>
        <v>0</v>
      </c>
      <c r="F101" s="63">
        <f>IFERROR(AVERAGEIFS('tuot-PVÄ'!J$3:J$604,'tuot-PVÄ'!$B$3:$B$604,$B101),)</f>
        <v>0</v>
      </c>
      <c r="G101" s="63">
        <f>IFERROR(AVERAGEIFS('tuot-PVÄ'!K$3:K$604,'tuot-PVÄ'!$B$3:$B$604,$B101),)</f>
        <v>0</v>
      </c>
      <c r="H101" s="167"/>
      <c r="I101" s="167">
        <f>IFERROR(AVERAGEIFS('tuot-PVÄ'!L$3:L$604,'tuot-PVÄ'!$B$3:$B$604,$B101),)</f>
        <v>0</v>
      </c>
      <c r="J101" s="167"/>
      <c r="K101" s="167">
        <f>IFERROR(AVERAGEIFS('tuot-PVÄ'!M$3:M$604,'tuot-PVÄ'!$B$3:$B$604,$B101),)</f>
        <v>0</v>
      </c>
      <c r="L101" s="30"/>
      <c r="M101" s="46"/>
      <c r="N101" s="45"/>
      <c r="O101" s="46"/>
      <c r="P101" s="46"/>
      <c r="Q101" s="12"/>
    </row>
    <row r="102" spans="1:17" x14ac:dyDescent="0.25">
      <c r="A102" s="43">
        <f t="shared" si="1"/>
        <v>43112</v>
      </c>
      <c r="B102" s="23">
        <v>106</v>
      </c>
      <c r="C102" s="63">
        <f>IFERROR(SUMIFS('tuot-PVÄ'!C$3:C$604,'tuot-PVÄ'!$B$3:$B$604,$B102),)</f>
        <v>0</v>
      </c>
      <c r="D102" s="63">
        <f>IFERROR(SUMIFS('tuot-PVÄ'!D$3:D$604,'tuot-PVÄ'!$B$3:$B$604,$B102),)</f>
        <v>0</v>
      </c>
      <c r="E102" s="63">
        <f>IFERROR(SUMIFS('tuot-PVÄ'!I$3:I$604,'tuot-PVÄ'!$B$3:$B$604,$B102),)</f>
        <v>0</v>
      </c>
      <c r="F102" s="63">
        <f>IFERROR(AVERAGEIFS('tuot-PVÄ'!J$3:J$604,'tuot-PVÄ'!$B$3:$B$604,$B102),)</f>
        <v>0</v>
      </c>
      <c r="G102" s="63">
        <f>IFERROR(AVERAGEIFS('tuot-PVÄ'!K$3:K$604,'tuot-PVÄ'!$B$3:$B$604,$B102),)</f>
        <v>0</v>
      </c>
      <c r="H102" s="167"/>
      <c r="I102" s="167">
        <f>IFERROR(AVERAGEIFS('tuot-PVÄ'!L$3:L$604,'tuot-PVÄ'!$B$3:$B$604,$B102),)</f>
        <v>0</v>
      </c>
      <c r="J102" s="167"/>
      <c r="K102" s="167">
        <f>IFERROR(AVERAGEIFS('tuot-PVÄ'!M$3:M$604,'tuot-PVÄ'!$B$3:$B$604,$B102),)</f>
        <v>0</v>
      </c>
      <c r="L102" s="30"/>
      <c r="M102" s="46"/>
      <c r="N102" s="45"/>
      <c r="O102" s="46"/>
      <c r="P102" s="46"/>
      <c r="Q102" s="12"/>
    </row>
    <row r="103" spans="1:17" x14ac:dyDescent="0.25">
      <c r="A103" s="43">
        <f t="shared" si="1"/>
        <v>43119</v>
      </c>
      <c r="B103" s="23">
        <v>107</v>
      </c>
      <c r="C103" s="63">
        <f>IFERROR(SUMIFS('tuot-PVÄ'!C$3:C$604,'tuot-PVÄ'!$B$3:$B$604,$B103),)</f>
        <v>0</v>
      </c>
      <c r="D103" s="63">
        <f>IFERROR(SUMIFS('tuot-PVÄ'!D$3:D$604,'tuot-PVÄ'!$B$3:$B$604,$B103),)</f>
        <v>0</v>
      </c>
      <c r="E103" s="63">
        <f>IFERROR(SUMIFS('tuot-PVÄ'!I$3:I$604,'tuot-PVÄ'!$B$3:$B$604,$B103),)</f>
        <v>0</v>
      </c>
      <c r="F103" s="63">
        <f>IFERROR(AVERAGEIFS('tuot-PVÄ'!J$3:J$604,'tuot-PVÄ'!$B$3:$B$604,$B103),)</f>
        <v>0</v>
      </c>
      <c r="G103" s="63">
        <f>IFERROR(AVERAGEIFS('tuot-PVÄ'!K$3:K$604,'tuot-PVÄ'!$B$3:$B$604,$B103),)</f>
        <v>0</v>
      </c>
      <c r="H103" s="167"/>
      <c r="I103" s="167">
        <f>IFERROR(AVERAGEIFS('tuot-PVÄ'!L$3:L$604,'tuot-PVÄ'!$B$3:$B$604,$B103),)</f>
        <v>0</v>
      </c>
      <c r="J103" s="167"/>
      <c r="K103" s="167">
        <f>IFERROR(AVERAGEIFS('tuot-PVÄ'!M$3:M$604,'tuot-PVÄ'!$B$3:$B$604,$B103),)</f>
        <v>0</v>
      </c>
      <c r="L103" s="30"/>
      <c r="M103" s="46"/>
      <c r="N103" s="45"/>
      <c r="O103" s="46"/>
      <c r="P103" s="46"/>
      <c r="Q103" s="12"/>
    </row>
    <row r="104" spans="1:17" x14ac:dyDescent="0.25">
      <c r="A104" s="43">
        <f t="shared" si="1"/>
        <v>43126</v>
      </c>
      <c r="B104" s="23">
        <v>108</v>
      </c>
      <c r="C104" s="63">
        <f>IFERROR(SUMIFS('tuot-PVÄ'!C$3:C$604,'tuot-PVÄ'!$B$3:$B$604,$B104),)</f>
        <v>0</v>
      </c>
      <c r="D104" s="63">
        <f>IFERROR(SUMIFS('tuot-PVÄ'!D$3:D$604,'tuot-PVÄ'!$B$3:$B$604,$B104),)</f>
        <v>0</v>
      </c>
      <c r="E104" s="63">
        <f>IFERROR(SUMIFS('tuot-PVÄ'!I$3:I$604,'tuot-PVÄ'!$B$3:$B$604,$B104),)</f>
        <v>0</v>
      </c>
      <c r="F104" s="63">
        <f>IFERROR(AVERAGEIFS('tuot-PVÄ'!J$3:J$604,'tuot-PVÄ'!$B$3:$B$604,$B104),)</f>
        <v>0</v>
      </c>
      <c r="G104" s="63">
        <f>IFERROR(AVERAGEIFS('tuot-PVÄ'!K$3:K$604,'tuot-PVÄ'!$B$3:$B$604,$B104),)</f>
        <v>0</v>
      </c>
      <c r="H104" s="167"/>
      <c r="I104" s="167">
        <f>IFERROR(AVERAGEIFS('tuot-PVÄ'!L$3:L$604,'tuot-PVÄ'!$B$3:$B$604,$B104),)</f>
        <v>0</v>
      </c>
      <c r="J104" s="167"/>
      <c r="K104" s="167">
        <f>IFERROR(AVERAGEIFS('tuot-PVÄ'!M$3:M$604,'tuot-PVÄ'!$B$3:$B$604,$B104),)</f>
        <v>0</v>
      </c>
      <c r="L104" s="30"/>
      <c r="M104" s="46"/>
      <c r="N104" s="45"/>
      <c r="O104" s="46"/>
      <c r="P104" s="46"/>
      <c r="Q104" s="12"/>
    </row>
    <row r="105" spans="1:17" x14ac:dyDescent="0.25">
      <c r="A105" s="43">
        <f t="shared" si="1"/>
        <v>43133</v>
      </c>
      <c r="B105" s="23">
        <v>109</v>
      </c>
      <c r="C105" s="63">
        <f>IFERROR(SUMIFS('tuot-PVÄ'!C$3:C$604,'tuot-PVÄ'!$B$3:$B$604,$B105),)</f>
        <v>0</v>
      </c>
      <c r="D105" s="63">
        <f>IFERROR(SUMIFS('tuot-PVÄ'!D$3:D$604,'tuot-PVÄ'!$B$3:$B$604,$B105),)</f>
        <v>0</v>
      </c>
      <c r="E105" s="63">
        <f>IFERROR(SUMIFS('tuot-PVÄ'!I$3:I$604,'tuot-PVÄ'!$B$3:$B$604,$B105),)</f>
        <v>0</v>
      </c>
      <c r="F105" s="63">
        <f>IFERROR(AVERAGEIFS('tuot-PVÄ'!J$3:J$604,'tuot-PVÄ'!$B$3:$B$604,$B105),)</f>
        <v>0</v>
      </c>
      <c r="G105" s="63">
        <f>IFERROR(AVERAGEIFS('tuot-PVÄ'!K$3:K$604,'tuot-PVÄ'!$B$3:$B$604,$B105),)</f>
        <v>0</v>
      </c>
      <c r="H105" s="167"/>
      <c r="I105" s="167">
        <f>IFERROR(AVERAGEIFS('tuot-PVÄ'!L$3:L$604,'tuot-PVÄ'!$B$3:$B$604,$B105),)</f>
        <v>0</v>
      </c>
      <c r="J105" s="167"/>
      <c r="K105" s="167">
        <f>IFERROR(AVERAGEIFS('tuot-PVÄ'!M$3:M$604,'tuot-PVÄ'!$B$3:$B$604,$B105),)</f>
        <v>0</v>
      </c>
      <c r="L105" s="30"/>
      <c r="M105" s="46"/>
      <c r="N105" s="45"/>
      <c r="O105" s="46"/>
      <c r="P105" s="46"/>
      <c r="Q105" s="12"/>
    </row>
    <row r="106" spans="1:17" x14ac:dyDescent="0.25">
      <c r="A106" s="43">
        <f t="shared" si="1"/>
        <v>43140</v>
      </c>
      <c r="B106" s="23">
        <v>110</v>
      </c>
      <c r="C106" s="63">
        <f>IFERROR(SUMIFS('tuot-PVÄ'!C$3:C$604,'tuot-PVÄ'!$B$3:$B$604,$B106),)</f>
        <v>0</v>
      </c>
      <c r="D106" s="63">
        <f>IFERROR(SUMIFS('tuot-PVÄ'!D$3:D$604,'tuot-PVÄ'!$B$3:$B$604,$B106),)</f>
        <v>0</v>
      </c>
      <c r="E106" s="63">
        <f>IFERROR(SUMIFS('tuot-PVÄ'!I$3:I$604,'tuot-PVÄ'!$B$3:$B$604,$B106),)</f>
        <v>0</v>
      </c>
      <c r="F106" s="63">
        <f>IFERROR(AVERAGEIFS('tuot-PVÄ'!J$3:J$604,'tuot-PVÄ'!$B$3:$B$604,$B106),)</f>
        <v>0</v>
      </c>
      <c r="G106" s="63">
        <f>IFERROR(AVERAGEIFS('tuot-PVÄ'!K$3:K$604,'tuot-PVÄ'!$B$3:$B$604,$B106),)</f>
        <v>0</v>
      </c>
      <c r="H106" s="167"/>
      <c r="I106" s="167">
        <f>IFERROR(AVERAGEIFS('tuot-PVÄ'!L$3:L$604,'tuot-PVÄ'!$B$3:$B$604,$B106),)</f>
        <v>0</v>
      </c>
      <c r="J106" s="167"/>
      <c r="K106" s="167">
        <f>IFERROR(AVERAGEIFS('tuot-PVÄ'!M$3:M$604,'tuot-PVÄ'!$B$3:$B$604,$B106),)</f>
        <v>0</v>
      </c>
      <c r="L106" s="30"/>
      <c r="M106" s="46"/>
      <c r="N106" s="45"/>
      <c r="O106" s="46"/>
      <c r="P106" s="46"/>
      <c r="Q106" s="12"/>
    </row>
    <row r="107" spans="1:17" x14ac:dyDescent="0.25">
      <c r="A107" s="43">
        <f t="shared" si="1"/>
        <v>43147</v>
      </c>
      <c r="B107" s="23">
        <v>111</v>
      </c>
      <c r="C107" s="63">
        <f>IFERROR(SUMIFS('tuot-PVÄ'!C$3:C$604,'tuot-PVÄ'!$B$3:$B$604,$B107),)</f>
        <v>0</v>
      </c>
      <c r="D107" s="63">
        <f>IFERROR(SUMIFS('tuot-PVÄ'!D$3:D$604,'tuot-PVÄ'!$B$3:$B$604,$B107),)</f>
        <v>0</v>
      </c>
      <c r="E107" s="63">
        <f>IFERROR(SUMIFS('tuot-PVÄ'!I$3:I$604,'tuot-PVÄ'!$B$3:$B$604,$B107),)</f>
        <v>0</v>
      </c>
      <c r="F107" s="63">
        <f>IFERROR(AVERAGEIFS('tuot-PVÄ'!J$3:J$604,'tuot-PVÄ'!$B$3:$B$604,$B107),)</f>
        <v>0</v>
      </c>
      <c r="G107" s="63">
        <f>IFERROR(AVERAGEIFS('tuot-PVÄ'!K$3:K$604,'tuot-PVÄ'!$B$3:$B$604,$B107),)</f>
        <v>0</v>
      </c>
      <c r="H107" s="167"/>
      <c r="I107" s="167">
        <f>IFERROR(AVERAGEIFS('tuot-PVÄ'!L$3:L$604,'tuot-PVÄ'!$B$3:$B$604,$B107),)</f>
        <v>0</v>
      </c>
      <c r="J107" s="167"/>
      <c r="K107" s="167">
        <f>IFERROR(AVERAGEIFS('tuot-PVÄ'!M$3:M$604,'tuot-PVÄ'!$B$3:$B$604,$B107),)</f>
        <v>0</v>
      </c>
      <c r="L107" s="30"/>
      <c r="M107" s="46"/>
      <c r="N107" s="45"/>
      <c r="O107" s="46"/>
      <c r="P107" s="46"/>
      <c r="Q107" s="12"/>
    </row>
    <row r="108" spans="1:17" x14ac:dyDescent="0.25">
      <c r="A108" s="43">
        <f t="shared" si="1"/>
        <v>43154</v>
      </c>
      <c r="B108" s="23">
        <v>112</v>
      </c>
      <c r="C108" s="63">
        <f>IFERROR(SUMIFS('tuot-PVÄ'!C$3:C$604,'tuot-PVÄ'!$B$3:$B$604,$B108),)</f>
        <v>0</v>
      </c>
      <c r="D108" s="63">
        <f>IFERROR(SUMIFS('tuot-PVÄ'!D$3:D$604,'tuot-PVÄ'!$B$3:$B$604,$B108),)</f>
        <v>0</v>
      </c>
      <c r="E108" s="63">
        <f>IFERROR(SUMIFS('tuot-PVÄ'!I$3:I$604,'tuot-PVÄ'!$B$3:$B$604,$B108),)</f>
        <v>0</v>
      </c>
      <c r="F108" s="63">
        <f>IFERROR(AVERAGEIFS('tuot-PVÄ'!J$3:J$604,'tuot-PVÄ'!$B$3:$B$604,$B108),)</f>
        <v>0</v>
      </c>
      <c r="G108" s="63">
        <f>IFERROR(AVERAGEIFS('tuot-PVÄ'!K$3:K$604,'tuot-PVÄ'!$B$3:$B$604,$B108),)</f>
        <v>0</v>
      </c>
      <c r="H108" s="167"/>
      <c r="I108" s="167">
        <f>IFERROR(AVERAGEIFS('tuot-PVÄ'!L$3:L$604,'tuot-PVÄ'!$B$3:$B$604,$B108),)</f>
        <v>0</v>
      </c>
      <c r="J108" s="167"/>
      <c r="K108" s="167">
        <f>IFERROR(AVERAGEIFS('tuot-PVÄ'!M$3:M$604,'tuot-PVÄ'!$B$3:$B$604,$B108),)</f>
        <v>0</v>
      </c>
      <c r="L108" s="30"/>
      <c r="M108" s="46"/>
      <c r="N108" s="45"/>
      <c r="O108" s="46"/>
      <c r="P108" s="46"/>
      <c r="Q108" s="12"/>
    </row>
    <row r="109" spans="1:17" x14ac:dyDescent="0.25">
      <c r="A109" s="43">
        <f t="shared" si="1"/>
        <v>43161</v>
      </c>
      <c r="B109" s="23">
        <v>113</v>
      </c>
      <c r="C109" s="63">
        <f>IFERROR(SUMIFS('tuot-PVÄ'!C$3:C$604,'tuot-PVÄ'!$B$3:$B$604,$B109),)</f>
        <v>0</v>
      </c>
      <c r="D109" s="63">
        <f>IFERROR(SUMIFS('tuot-PVÄ'!D$3:D$604,'tuot-PVÄ'!$B$3:$B$604,$B109),)</f>
        <v>0</v>
      </c>
      <c r="E109" s="63">
        <f>IFERROR(SUMIFS('tuot-PVÄ'!I$3:I$604,'tuot-PVÄ'!$B$3:$B$604,$B109),)</f>
        <v>0</v>
      </c>
      <c r="F109" s="63">
        <f>IFERROR(AVERAGEIFS('tuot-PVÄ'!J$3:J$604,'tuot-PVÄ'!$B$3:$B$604,$B109),)</f>
        <v>0</v>
      </c>
      <c r="G109" s="63">
        <f>IFERROR(AVERAGEIFS('tuot-PVÄ'!K$3:K$604,'tuot-PVÄ'!$B$3:$B$604,$B109),)</f>
        <v>0</v>
      </c>
      <c r="H109" s="167"/>
      <c r="I109" s="167">
        <f>IFERROR(AVERAGEIFS('tuot-PVÄ'!L$3:L$604,'tuot-PVÄ'!$B$3:$B$604,$B109),)</f>
        <v>0</v>
      </c>
      <c r="J109" s="167"/>
      <c r="K109" s="167">
        <f>IFERROR(AVERAGEIFS('tuot-PVÄ'!M$3:M$604,'tuot-PVÄ'!$B$3:$B$604,$B109),)</f>
        <v>0</v>
      </c>
      <c r="L109" s="30"/>
      <c r="M109" s="46"/>
      <c r="N109" s="45"/>
      <c r="O109" s="46"/>
      <c r="P109" s="46"/>
      <c r="Q109" s="12"/>
    </row>
    <row r="110" spans="1:17" x14ac:dyDescent="0.25">
      <c r="A110" s="43">
        <f t="shared" si="1"/>
        <v>43168</v>
      </c>
      <c r="B110" s="23">
        <v>114</v>
      </c>
      <c r="C110" s="63">
        <f>IFERROR(SUMIFS('tuot-PVÄ'!C$3:C$604,'tuot-PVÄ'!$B$3:$B$604,$B110),)</f>
        <v>0</v>
      </c>
      <c r="D110" s="63">
        <f>IFERROR(SUMIFS('tuot-PVÄ'!D$3:D$604,'tuot-PVÄ'!$B$3:$B$604,$B110),)</f>
        <v>0</v>
      </c>
      <c r="E110" s="63">
        <f>IFERROR(SUMIFS('tuot-PVÄ'!I$3:I$604,'tuot-PVÄ'!$B$3:$B$604,$B110),)</f>
        <v>0</v>
      </c>
      <c r="F110" s="63">
        <f>IFERROR(AVERAGEIFS('tuot-PVÄ'!J$3:J$604,'tuot-PVÄ'!$B$3:$B$604,$B110),)</f>
        <v>0</v>
      </c>
      <c r="G110" s="63">
        <f>IFERROR(AVERAGEIFS('tuot-PVÄ'!K$3:K$604,'tuot-PVÄ'!$B$3:$B$604,$B110),)</f>
        <v>0</v>
      </c>
      <c r="H110" s="167"/>
      <c r="I110" s="167">
        <f>IFERROR(AVERAGEIFS('tuot-PVÄ'!L$3:L$604,'tuot-PVÄ'!$B$3:$B$604,$B110),)</f>
        <v>0</v>
      </c>
      <c r="J110" s="167"/>
      <c r="K110" s="167">
        <f>IFERROR(AVERAGEIFS('tuot-PVÄ'!M$3:M$604,'tuot-PVÄ'!$B$3:$B$604,$B110),)</f>
        <v>0</v>
      </c>
      <c r="L110" s="30"/>
      <c r="M110" s="46"/>
      <c r="N110" s="45"/>
      <c r="O110" s="46"/>
      <c r="P110" s="46"/>
      <c r="Q110" s="12"/>
    </row>
    <row r="111" spans="1:17" x14ac:dyDescent="0.25">
      <c r="A111" s="43">
        <f t="shared" si="1"/>
        <v>43175</v>
      </c>
      <c r="B111" s="23">
        <v>115</v>
      </c>
      <c r="C111" s="63">
        <f>IFERROR(SUMIFS('tuot-PVÄ'!C$3:C$604,'tuot-PVÄ'!$B$3:$B$604,$B111),)</f>
        <v>0</v>
      </c>
      <c r="D111" s="63">
        <f>IFERROR(SUMIFS('tuot-PVÄ'!D$3:D$604,'tuot-PVÄ'!$B$3:$B$604,$B111),)</f>
        <v>0</v>
      </c>
      <c r="E111" s="63">
        <f>IFERROR(SUMIFS('tuot-PVÄ'!I$3:I$604,'tuot-PVÄ'!$B$3:$B$604,$B111),)</f>
        <v>0</v>
      </c>
      <c r="F111" s="63">
        <f>IFERROR(AVERAGEIFS('tuot-PVÄ'!J$3:J$604,'tuot-PVÄ'!$B$3:$B$604,$B111),)</f>
        <v>0</v>
      </c>
      <c r="G111" s="63">
        <f>IFERROR(AVERAGEIFS('tuot-PVÄ'!K$3:K$604,'tuot-PVÄ'!$B$3:$B$604,$B111),)</f>
        <v>0</v>
      </c>
      <c r="H111" s="167"/>
      <c r="I111" s="167">
        <f>IFERROR(AVERAGEIFS('tuot-PVÄ'!L$3:L$604,'tuot-PVÄ'!$B$3:$B$604,$B111),)</f>
        <v>0</v>
      </c>
      <c r="J111" s="167"/>
      <c r="K111" s="167">
        <f>IFERROR(AVERAGEIFS('tuot-PVÄ'!M$3:M$604,'tuot-PVÄ'!$B$3:$B$604,$B111),)</f>
        <v>0</v>
      </c>
      <c r="L111" s="30"/>
      <c r="M111" s="46"/>
      <c r="N111" s="45"/>
      <c r="O111" s="46"/>
      <c r="P111" s="46"/>
      <c r="Q111" s="12"/>
    </row>
    <row r="112" spans="1:17" x14ac:dyDescent="0.25">
      <c r="A112" s="43">
        <f t="shared" si="1"/>
        <v>43182</v>
      </c>
      <c r="B112" s="23">
        <v>116</v>
      </c>
      <c r="C112" s="63">
        <f>IFERROR(SUMIFS('tuot-PVÄ'!C$3:C$604,'tuot-PVÄ'!$B$3:$B$604,$B112),)</f>
        <v>0</v>
      </c>
      <c r="D112" s="63">
        <f>IFERROR(SUMIFS('tuot-PVÄ'!D$3:D$604,'tuot-PVÄ'!$B$3:$B$604,$B112),)</f>
        <v>0</v>
      </c>
      <c r="E112" s="63">
        <f>IFERROR(SUMIFS('tuot-PVÄ'!I$3:I$604,'tuot-PVÄ'!$B$3:$B$604,$B112),)</f>
        <v>0</v>
      </c>
      <c r="F112" s="63">
        <f>IFERROR(AVERAGEIFS('tuot-PVÄ'!J$3:J$604,'tuot-PVÄ'!$B$3:$B$604,$B112),)</f>
        <v>0</v>
      </c>
      <c r="G112" s="63">
        <f>IFERROR(AVERAGEIFS('tuot-PVÄ'!K$3:K$604,'tuot-PVÄ'!$B$3:$B$604,$B112),)</f>
        <v>0</v>
      </c>
      <c r="H112" s="167"/>
      <c r="I112" s="167">
        <f>IFERROR(AVERAGEIFS('tuot-PVÄ'!L$3:L$604,'tuot-PVÄ'!$B$3:$B$604,$B112),)</f>
        <v>0</v>
      </c>
      <c r="J112" s="167"/>
      <c r="K112" s="167">
        <f>IFERROR(AVERAGEIFS('tuot-PVÄ'!M$3:M$604,'tuot-PVÄ'!$B$3:$B$604,$B112),)</f>
        <v>0</v>
      </c>
      <c r="L112" s="30"/>
      <c r="M112" s="46"/>
      <c r="N112" s="45"/>
      <c r="O112" s="46"/>
      <c r="P112" s="46"/>
      <c r="Q112" s="12"/>
    </row>
    <row r="113" spans="1:17" x14ac:dyDescent="0.25">
      <c r="A113" s="43">
        <f t="shared" si="1"/>
        <v>43189</v>
      </c>
      <c r="B113" s="23">
        <v>117</v>
      </c>
      <c r="C113" s="63">
        <f>IFERROR(SUMIFS('tuot-PVÄ'!C$3:C$604,'tuot-PVÄ'!$B$3:$B$604,$B113),)</f>
        <v>0</v>
      </c>
      <c r="D113" s="63">
        <f>IFERROR(SUMIFS('tuot-PVÄ'!D$3:D$604,'tuot-PVÄ'!$B$3:$B$604,$B113),)</f>
        <v>0</v>
      </c>
      <c r="E113" s="63">
        <f>IFERROR(SUMIFS('tuot-PVÄ'!I$3:I$604,'tuot-PVÄ'!$B$3:$B$604,$B113),)</f>
        <v>0</v>
      </c>
      <c r="F113" s="63">
        <f>IFERROR(AVERAGEIFS('tuot-PVÄ'!J$3:J$604,'tuot-PVÄ'!$B$3:$B$604,$B113),)</f>
        <v>0</v>
      </c>
      <c r="G113" s="63">
        <f>IFERROR(AVERAGEIFS('tuot-PVÄ'!K$3:K$604,'tuot-PVÄ'!$B$3:$B$604,$B113),)</f>
        <v>0</v>
      </c>
      <c r="H113" s="167"/>
      <c r="I113" s="167">
        <f>IFERROR(AVERAGEIFS('tuot-PVÄ'!L$3:L$604,'tuot-PVÄ'!$B$3:$B$604,$B113),)</f>
        <v>0</v>
      </c>
      <c r="J113" s="167"/>
      <c r="K113" s="167">
        <f>IFERROR(AVERAGEIFS('tuot-PVÄ'!M$3:M$604,'tuot-PVÄ'!$B$3:$B$604,$B113),)</f>
        <v>0</v>
      </c>
      <c r="L113" s="30"/>
      <c r="M113" s="46"/>
      <c r="N113" s="45"/>
      <c r="O113" s="46"/>
      <c r="P113" s="46"/>
      <c r="Q113" s="12"/>
    </row>
    <row r="114" spans="1:17" x14ac:dyDescent="0.25">
      <c r="A114" s="43">
        <f t="shared" si="1"/>
        <v>43196</v>
      </c>
      <c r="B114" s="23">
        <v>118</v>
      </c>
      <c r="C114" s="63">
        <f>IFERROR(SUMIFS('tuot-PVÄ'!C$3:C$604,'tuot-PVÄ'!$B$3:$B$604,$B114),)</f>
        <v>0</v>
      </c>
      <c r="D114" s="63">
        <f>IFERROR(SUMIFS('tuot-PVÄ'!D$3:D$604,'tuot-PVÄ'!$B$3:$B$604,$B114),)</f>
        <v>0</v>
      </c>
      <c r="E114" s="63">
        <f>IFERROR(SUMIFS('tuot-PVÄ'!I$3:I$604,'tuot-PVÄ'!$B$3:$B$604,$B114),)</f>
        <v>0</v>
      </c>
      <c r="F114" s="63">
        <f>IFERROR(AVERAGEIFS('tuot-PVÄ'!J$3:J$604,'tuot-PVÄ'!$B$3:$B$604,$B114),)</f>
        <v>0</v>
      </c>
      <c r="G114" s="63">
        <f>IFERROR(AVERAGEIFS('tuot-PVÄ'!K$3:K$604,'tuot-PVÄ'!$B$3:$B$604,$B114),)</f>
        <v>0</v>
      </c>
      <c r="H114" s="167"/>
      <c r="I114" s="167">
        <f>IFERROR(AVERAGEIFS('tuot-PVÄ'!L$3:L$604,'tuot-PVÄ'!$B$3:$B$604,$B114),)</f>
        <v>0</v>
      </c>
      <c r="J114" s="167"/>
      <c r="K114" s="167">
        <f>IFERROR(AVERAGEIFS('tuot-PVÄ'!M$3:M$604,'tuot-PVÄ'!$B$3:$B$604,$B114),)</f>
        <v>0</v>
      </c>
      <c r="L114" s="30"/>
      <c r="M114" s="46"/>
      <c r="N114" s="45"/>
      <c r="O114" s="46"/>
      <c r="P114" s="46"/>
      <c r="Q114" s="12"/>
    </row>
    <row r="115" spans="1:17" x14ac:dyDescent="0.25">
      <c r="A115" s="43">
        <f t="shared" si="1"/>
        <v>43203</v>
      </c>
      <c r="B115" s="23">
        <v>119</v>
      </c>
      <c r="C115" s="63">
        <f>IFERROR(SUMIFS('tuot-PVÄ'!C$3:C$604,'tuot-PVÄ'!$B$3:$B$604,$B115),)</f>
        <v>0</v>
      </c>
      <c r="D115" s="63">
        <f>IFERROR(SUMIFS('tuot-PVÄ'!D$3:D$604,'tuot-PVÄ'!$B$3:$B$604,$B115),)</f>
        <v>0</v>
      </c>
      <c r="E115" s="63">
        <f>IFERROR(SUMIFS('tuot-PVÄ'!I$3:I$604,'tuot-PVÄ'!$B$3:$B$604,$B115),)</f>
        <v>0</v>
      </c>
      <c r="F115" s="63">
        <f>IFERROR(AVERAGEIFS('tuot-PVÄ'!J$3:J$604,'tuot-PVÄ'!$B$3:$B$604,$B115),)</f>
        <v>0</v>
      </c>
      <c r="G115" s="63">
        <f>IFERROR(AVERAGEIFS('tuot-PVÄ'!K$3:K$604,'tuot-PVÄ'!$B$3:$B$604,$B115),)</f>
        <v>0</v>
      </c>
      <c r="H115" s="167"/>
      <c r="I115" s="167">
        <f>IFERROR(AVERAGEIFS('tuot-PVÄ'!L$3:L$604,'tuot-PVÄ'!$B$3:$B$604,$B115),)</f>
        <v>0</v>
      </c>
      <c r="J115" s="167"/>
      <c r="K115" s="167">
        <f>IFERROR(AVERAGEIFS('tuot-PVÄ'!M$3:M$604,'tuot-PVÄ'!$B$3:$B$604,$B115),)</f>
        <v>0</v>
      </c>
      <c r="L115" s="30"/>
      <c r="M115" s="46"/>
      <c r="N115" s="45"/>
      <c r="O115" s="46"/>
      <c r="P115" s="46"/>
      <c r="Q115" s="12"/>
    </row>
    <row r="116" spans="1:17" x14ac:dyDescent="0.25">
      <c r="A116" s="43">
        <f t="shared" si="1"/>
        <v>43210</v>
      </c>
      <c r="B116" s="24">
        <v>120</v>
      </c>
      <c r="C116" s="64">
        <f>IFERROR(SUMIFS('tuot-PVÄ'!C$3:C$604,'tuot-PVÄ'!$B$3:$B$604,$B116),)</f>
        <v>0</v>
      </c>
      <c r="D116" s="64">
        <f>IFERROR(SUMIFS('tuot-PVÄ'!D$3:D$604,'tuot-PVÄ'!$B$3:$B$604,$B116),)</f>
        <v>0</v>
      </c>
      <c r="E116" s="66">
        <f>IFERROR(SUMIFS('tuot-PVÄ'!I$3:I$604,'tuot-PVÄ'!$B$3:$B$604,$B116),)</f>
        <v>0</v>
      </c>
      <c r="F116" s="64">
        <f>IFERROR(AVERAGEIFS('tuot-PVÄ'!J$3:J$604,'tuot-PVÄ'!$B$3:$B$604,$B116),)</f>
        <v>0</v>
      </c>
      <c r="G116" s="64">
        <f>IFERROR(AVERAGEIFS('tuot-PVÄ'!K$3:K$604,'tuot-PVÄ'!$B$3:$B$604,$B116),)</f>
        <v>0</v>
      </c>
      <c r="H116" s="168"/>
      <c r="I116" s="168">
        <f>IFERROR(AVERAGEIFS('tuot-PVÄ'!L$3:L$604,'tuot-PVÄ'!$B$3:$B$604,$B116),)</f>
        <v>0</v>
      </c>
      <c r="J116" s="168"/>
      <c r="K116" s="168">
        <f>IFERROR(AVERAGEIFS('tuot-PVÄ'!M$3:M$604,'tuot-PVÄ'!$B$3:$B$604,$B116),)</f>
        <v>0</v>
      </c>
      <c r="L116" s="32"/>
      <c r="M116" s="46"/>
      <c r="N116" s="45"/>
      <c r="O116" s="46"/>
      <c r="P116" s="46"/>
      <c r="Q116" s="12"/>
    </row>
    <row r="117" spans="1:17" x14ac:dyDescent="0.25">
      <c r="B117" s="2"/>
      <c r="C117" s="4"/>
      <c r="E117" s="1"/>
      <c r="F117" s="4"/>
      <c r="G117" s="3"/>
      <c r="J117" s="4"/>
      <c r="M117" s="5"/>
    </row>
    <row r="118" spans="1:17" x14ac:dyDescent="0.25">
      <c r="B118" s="2"/>
      <c r="C118" s="4"/>
      <c r="E118" s="1"/>
      <c r="F118" s="4"/>
      <c r="G118" s="3"/>
      <c r="J118" s="4"/>
      <c r="M118" s="5"/>
    </row>
  </sheetData>
  <sheetProtection algorithmName="SHA-512" hashValue="xEat/chJxx7zkQrfGpl9IR5cYupOuGuZeqT9pPQbMNavlAoQpkplDlRyZebkqnbXc6GVx7L/48YtgX2D8Bk93w==" saltValue="AofjTGMqfT7Elu/l2D9V5g==" spinCount="100000" sheet="1" selectLockedCells="1"/>
  <mergeCells count="6">
    <mergeCell ref="H9:I9"/>
    <mergeCell ref="J9:K9"/>
    <mergeCell ref="C7:J7"/>
    <mergeCell ref="C3:E3"/>
    <mergeCell ref="C4:E4"/>
    <mergeCell ref="C5:E5"/>
  </mergeCells>
  <pageMargins left="0.25" right="0.25" top="0.75" bottom="0.75" header="0.3" footer="0.3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theme="7"/>
    <pageSetUpPr fitToPage="1"/>
  </sheetPr>
  <dimension ref="A1:AS143"/>
  <sheetViews>
    <sheetView zoomScaleNormal="100" workbookViewId="0">
      <selection activeCell="I3" sqref="I3"/>
    </sheetView>
  </sheetViews>
  <sheetFormatPr defaultColWidth="11.5703125" defaultRowHeight="15" x14ac:dyDescent="0.25"/>
  <cols>
    <col min="1" max="1" width="4" style="11" customWidth="1"/>
    <col min="2" max="2" width="7.7109375" style="4" customWidth="1"/>
    <col min="3" max="4" width="6.5703125" style="1" customWidth="1"/>
    <col min="5" max="5" width="6.7109375" style="4" customWidth="1"/>
    <col min="6" max="6" width="6.7109375" style="3" customWidth="1"/>
    <col min="7" max="9" width="6.7109375" style="4" customWidth="1"/>
    <col min="10" max="14" width="6.7109375" style="5" customWidth="1"/>
    <col min="15" max="22" width="6.7109375" style="1" customWidth="1"/>
    <col min="23" max="24" width="11.5703125" style="55" customWidth="1"/>
    <col min="25" max="31" width="11.5703125" style="224" customWidth="1"/>
    <col min="32" max="45" width="11.5703125" style="55"/>
    <col min="46" max="16384" width="11.5703125" style="1"/>
  </cols>
  <sheetData>
    <row r="1" spans="1:45" ht="23.25" x14ac:dyDescent="0.35">
      <c r="B1" s="48" t="s">
        <v>19</v>
      </c>
      <c r="C1" s="48"/>
      <c r="D1" s="48"/>
      <c r="E1" s="48" t="s">
        <v>1</v>
      </c>
      <c r="F1" s="49"/>
    </row>
    <row r="2" spans="1:45" x14ac:dyDescent="0.25">
      <c r="N2" s="52"/>
      <c r="O2" s="35"/>
      <c r="P2" s="35"/>
      <c r="Q2" s="35"/>
    </row>
    <row r="3" spans="1:45" ht="15.75" x14ac:dyDescent="0.25">
      <c r="A3" s="6" t="str">
        <f>'tuot-VKO'!A3</f>
        <v>Munittaja</v>
      </c>
      <c r="B3" s="1"/>
      <c r="D3" s="284">
        <f>'tuot-VKO'!C3</f>
        <v>0</v>
      </c>
      <c r="E3" s="285"/>
      <c r="F3" s="285"/>
      <c r="G3" s="285"/>
      <c r="H3" s="286"/>
      <c r="I3" s="1"/>
      <c r="J3" s="7" t="str">
        <f>'tuot-VKO'!G3</f>
        <v>Kuoriutumispäivä</v>
      </c>
      <c r="K3" s="1"/>
      <c r="L3" s="1"/>
      <c r="M3" s="1"/>
      <c r="N3" s="125"/>
      <c r="O3" s="295">
        <f>'tuot-VKO'!J3</f>
        <v>42370</v>
      </c>
      <c r="P3" s="295"/>
      <c r="Q3" s="123"/>
      <c r="Y3" s="55"/>
      <c r="AF3" s="224"/>
    </row>
    <row r="4" spans="1:45" ht="15.75" x14ac:dyDescent="0.25">
      <c r="A4" s="6" t="str">
        <f>'tuot-VKO'!A4</f>
        <v>Tila/munittamo</v>
      </c>
      <c r="B4" s="1"/>
      <c r="D4" s="284">
        <f>'tuot-VKO'!C4</f>
        <v>0</v>
      </c>
      <c r="E4" s="285"/>
      <c r="F4" s="285"/>
      <c r="G4" s="285"/>
      <c r="H4" s="286"/>
      <c r="I4" s="1"/>
      <c r="J4" s="7" t="str">
        <f>'tuot-VKO'!G4</f>
        <v>Munittamoon tulopäivä</v>
      </c>
      <c r="K4" s="1"/>
      <c r="L4" s="1"/>
      <c r="M4" s="1"/>
      <c r="N4" s="122"/>
      <c r="O4" s="295">
        <f>'tuot-VKO'!J4</f>
        <v>42489</v>
      </c>
      <c r="P4" s="295"/>
      <c r="Q4" s="124"/>
      <c r="Y4" s="55"/>
      <c r="AF4" s="224"/>
    </row>
    <row r="5" spans="1:45" ht="15.75" x14ac:dyDescent="0.25">
      <c r="A5" s="6" t="str">
        <f>'tuot-VKO'!A5</f>
        <v>Parvitunnus</v>
      </c>
      <c r="B5" s="1"/>
      <c r="D5" s="284">
        <f>'tuot-VKO'!C5</f>
        <v>0</v>
      </c>
      <c r="E5" s="285"/>
      <c r="F5" s="285"/>
      <c r="G5" s="285"/>
      <c r="H5" s="286"/>
      <c r="I5" s="1"/>
      <c r="J5" s="7" t="str">
        <f>'tuot-VKO'!G5</f>
        <v>Toimitettu nuorikkomäärä</v>
      </c>
      <c r="K5" s="1"/>
      <c r="L5" s="1"/>
      <c r="M5" s="1"/>
      <c r="N5" s="52"/>
      <c r="O5" s="296">
        <f>'tuot-VKO'!J5</f>
        <v>9990</v>
      </c>
      <c r="P5" s="297"/>
      <c r="Q5" s="35"/>
      <c r="Y5" s="55"/>
      <c r="AF5" s="224"/>
    </row>
    <row r="6" spans="1:45" ht="16.5" thickBot="1" x14ac:dyDescent="0.3">
      <c r="I6" s="6"/>
      <c r="J6" s="6"/>
      <c r="K6" s="6"/>
      <c r="L6" s="1"/>
      <c r="O6" s="5"/>
    </row>
    <row r="7" spans="1:45" ht="16.5" thickTop="1" thickBot="1" x14ac:dyDescent="0.3">
      <c r="A7" s="69"/>
      <c r="B7" s="69"/>
      <c r="C7" s="69"/>
      <c r="D7" s="69"/>
      <c r="E7" s="287" t="s">
        <v>61</v>
      </c>
      <c r="F7" s="288"/>
      <c r="G7" s="288"/>
      <c r="H7" s="288"/>
      <c r="I7" s="289"/>
      <c r="J7" s="68"/>
      <c r="K7" s="69"/>
      <c r="L7" s="70"/>
      <c r="M7" s="70"/>
      <c r="N7" s="287" t="s">
        <v>62</v>
      </c>
      <c r="O7" s="288"/>
      <c r="P7" s="288"/>
      <c r="Q7" s="288"/>
      <c r="R7" s="288"/>
      <c r="S7" s="288"/>
      <c r="T7" s="288"/>
      <c r="U7" s="288"/>
      <c r="V7" s="289"/>
    </row>
    <row r="8" spans="1:45" ht="15.75" thickTop="1" x14ac:dyDescent="0.25">
      <c r="A8" s="71"/>
      <c r="B8" s="292" t="s">
        <v>58</v>
      </c>
      <c r="C8" s="293"/>
      <c r="D8" s="294"/>
      <c r="E8" s="292" t="s">
        <v>36</v>
      </c>
      <c r="F8" s="293"/>
      <c r="G8" s="294"/>
      <c r="H8" s="290" t="s">
        <v>65</v>
      </c>
      <c r="I8" s="291"/>
      <c r="J8" s="298" t="s">
        <v>66</v>
      </c>
      <c r="K8" s="299"/>
      <c r="L8" s="299"/>
      <c r="M8" s="300"/>
      <c r="N8" s="290" t="s">
        <v>68</v>
      </c>
      <c r="O8" s="301"/>
      <c r="P8" s="301"/>
      <c r="Q8" s="291"/>
      <c r="R8" s="290" t="s">
        <v>36</v>
      </c>
      <c r="S8" s="301"/>
      <c r="T8" s="291"/>
      <c r="U8" s="292" t="s">
        <v>21</v>
      </c>
      <c r="V8" s="294"/>
      <c r="W8" s="55">
        <f>Yleistiedot!D28</f>
        <v>1</v>
      </c>
      <c r="Y8" s="55"/>
      <c r="Z8" s="55"/>
      <c r="AF8" s="224"/>
      <c r="AG8" s="224"/>
      <c r="AH8" s="55" t="s">
        <v>173</v>
      </c>
      <c r="AL8" s="55" t="s">
        <v>172</v>
      </c>
      <c r="AP8" s="55" t="s">
        <v>174</v>
      </c>
    </row>
    <row r="9" spans="1:45" s="9" customFormat="1" ht="69.75" customHeight="1" x14ac:dyDescent="0.2">
      <c r="A9" s="72" t="s">
        <v>22</v>
      </c>
      <c r="B9" s="73" t="s">
        <v>23</v>
      </c>
      <c r="C9" s="74" t="s">
        <v>24</v>
      </c>
      <c r="D9" s="75" t="s">
        <v>31</v>
      </c>
      <c r="E9" s="76" t="s">
        <v>63</v>
      </c>
      <c r="F9" s="77" t="s">
        <v>25</v>
      </c>
      <c r="G9" s="75" t="s">
        <v>59</v>
      </c>
      <c r="H9" s="78" t="s">
        <v>64</v>
      </c>
      <c r="I9" s="75" t="s">
        <v>59</v>
      </c>
      <c r="J9" s="73" t="s">
        <v>70</v>
      </c>
      <c r="K9" s="79" t="s">
        <v>67</v>
      </c>
      <c r="L9" s="74" t="s">
        <v>26</v>
      </c>
      <c r="M9" s="75" t="s">
        <v>60</v>
      </c>
      <c r="N9" s="76" t="s">
        <v>71</v>
      </c>
      <c r="O9" s="79" t="s">
        <v>180</v>
      </c>
      <c r="P9" s="78" t="s">
        <v>69</v>
      </c>
      <c r="Q9" s="75" t="s">
        <v>179</v>
      </c>
      <c r="R9" s="76" t="s">
        <v>63</v>
      </c>
      <c r="S9" s="77" t="s">
        <v>25</v>
      </c>
      <c r="T9" s="75" t="s">
        <v>59</v>
      </c>
      <c r="U9" s="80" t="s">
        <v>64</v>
      </c>
      <c r="V9" s="75" t="s">
        <v>59</v>
      </c>
      <c r="W9" s="54" t="s">
        <v>54</v>
      </c>
      <c r="X9" s="54" t="s">
        <v>53</v>
      </c>
      <c r="Y9" s="54" t="s">
        <v>34</v>
      </c>
      <c r="Z9" s="54" t="s">
        <v>35</v>
      </c>
      <c r="AA9" s="242" t="s">
        <v>27</v>
      </c>
      <c r="AB9" s="54" t="s">
        <v>28</v>
      </c>
      <c r="AC9" s="54" t="s">
        <v>29</v>
      </c>
      <c r="AD9" s="54" t="s">
        <v>30</v>
      </c>
      <c r="AE9" s="54" t="s">
        <v>31</v>
      </c>
      <c r="AF9" s="54" t="s">
        <v>33</v>
      </c>
      <c r="AG9" s="54" t="s">
        <v>32</v>
      </c>
      <c r="AH9" s="54" t="s">
        <v>178</v>
      </c>
      <c r="AI9" s="54" t="s">
        <v>175</v>
      </c>
      <c r="AJ9" s="228" t="s">
        <v>176</v>
      </c>
      <c r="AK9" s="228" t="s">
        <v>177</v>
      </c>
      <c r="AL9" s="54" t="s">
        <v>178</v>
      </c>
      <c r="AM9" s="54" t="s">
        <v>175</v>
      </c>
      <c r="AN9" s="228" t="s">
        <v>176</v>
      </c>
      <c r="AO9" s="228" t="s">
        <v>177</v>
      </c>
      <c r="AP9" s="54" t="s">
        <v>178</v>
      </c>
      <c r="AQ9" s="54" t="s">
        <v>175</v>
      </c>
      <c r="AR9" s="228" t="s">
        <v>176</v>
      </c>
      <c r="AS9" s="228" t="s">
        <v>177</v>
      </c>
    </row>
    <row r="10" spans="1:45" s="11" customFormat="1" ht="12.75" x14ac:dyDescent="0.2">
      <c r="A10" s="81">
        <v>15</v>
      </c>
      <c r="B10" s="82">
        <f>IF(('tuot-VKO'!$J$5&gt;0),$O$5-SUM('tuot-VKO'!$C$11:'tuot-VKO'!C11), )</f>
        <v>9990</v>
      </c>
      <c r="C10" s="83">
        <f>IF(('tuot-VKO'!$J$5&gt;0),100-(SUM('tuot-VKO'!C$11:C11))/$O$5*100, )</f>
        <v>100</v>
      </c>
      <c r="D10" s="84"/>
      <c r="E10" s="85">
        <f>IF(('tuot-VKO'!$J$5&gt;0),('tuot-VKO'!D11+'tuot-VKO'!E11)/7/B10*100, )</f>
        <v>0</v>
      </c>
      <c r="F10" s="86">
        <f>IF(('tuot-VKO'!$J$5&gt;0),'tuot-VKO'!D11/7/B10*100, )</f>
        <v>0</v>
      </c>
      <c r="G10" s="84"/>
      <c r="H10" s="83">
        <f>7*E10/100</f>
        <v>0</v>
      </c>
      <c r="I10" s="84">
        <f>IF(ISNUMBER(G10),7*G10/100, )</f>
        <v>0</v>
      </c>
      <c r="J10" s="85">
        <f>'tuot-VKO'!F11</f>
        <v>0</v>
      </c>
      <c r="K10" s="87"/>
      <c r="L10" s="83">
        <f>IF(U10&lt;&gt;0,J10*Y10/U10,0)</f>
        <v>0</v>
      </c>
      <c r="M10" s="84">
        <f>IF(V10&lt;&gt;0,K10*Z10/V10,0)</f>
        <v>0</v>
      </c>
      <c r="N10" s="82">
        <f>J10*Y10</f>
        <v>0</v>
      </c>
      <c r="O10" s="88">
        <f t="shared" ref="O10:O41" si="0">ROUND(K10*Z10/10,0)*10</f>
        <v>0</v>
      </c>
      <c r="P10" s="89">
        <f>N10/1000</f>
        <v>0</v>
      </c>
      <c r="Q10" s="90">
        <f>O10/1000</f>
        <v>0</v>
      </c>
      <c r="R10" s="85">
        <f>IF(('tuot-VKO'!$J$5&gt;0),('tuot-VKO'!D11+'tuot-VKO'!E11)/7/$O$5*100,0)</f>
        <v>0</v>
      </c>
      <c r="S10" s="86">
        <f>IF(('tuot-VKO'!$J$5&gt;0),'tuot-VKO'!D11/7/$O$5*100,0)</f>
        <v>0</v>
      </c>
      <c r="T10" s="84" t="str">
        <f>IF(ISNUMBER(G10),G10*D10/100,"")</f>
        <v/>
      </c>
      <c r="U10" s="85">
        <f>7*R10/100</f>
        <v>0</v>
      </c>
      <c r="V10" s="84">
        <f>IF(ISNUMBER(T10),7*T10/100, )</f>
        <v>0</v>
      </c>
      <c r="W10" s="243"/>
      <c r="X10" s="243"/>
      <c r="Y10" s="243">
        <f>U10</f>
        <v>0</v>
      </c>
      <c r="Z10" s="243">
        <f>V10</f>
        <v>0</v>
      </c>
      <c r="AA10" s="243">
        <f>N10/7</f>
        <v>0</v>
      </c>
      <c r="AB10" s="243" t="str">
        <f>IF(E10&gt;=90,E10,"" )</f>
        <v/>
      </c>
      <c r="AC10" s="243" t="str">
        <f t="shared" ref="AC10:AC41" si="1">IF(F10&gt;0,(IF(G10&gt;=90,G10,"" )),"")</f>
        <v/>
      </c>
      <c r="AD10" s="243"/>
      <c r="AE10" s="243"/>
      <c r="AF10" s="243"/>
      <c r="AG10" s="243"/>
      <c r="AH10" s="244"/>
      <c r="AI10" s="244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</row>
    <row r="11" spans="1:45" s="11" customFormat="1" ht="12.75" x14ac:dyDescent="0.2">
      <c r="A11" s="81">
        <v>16</v>
      </c>
      <c r="B11" s="91">
        <f>IF(('tuot-VKO'!$J$5&gt;0),$O$5-SUM('tuot-VKO'!$C$11:'tuot-VKO'!C12), )</f>
        <v>9990</v>
      </c>
      <c r="C11" s="92">
        <f>IF(('tuot-VKO'!$J$5&gt;0),100-(SUM('tuot-VKO'!C$11:C12))/$O$5*100, )</f>
        <v>100</v>
      </c>
      <c r="D11" s="93"/>
      <c r="E11" s="94">
        <f>IF(('tuot-VKO'!$J$5&gt;0),('tuot-VKO'!D12+'tuot-VKO'!E12)/7/B11*100, )</f>
        <v>0</v>
      </c>
      <c r="F11" s="95">
        <f>IF(('tuot-VKO'!$J$5&gt;0),'tuot-VKO'!D12/7/B11*100, )</f>
        <v>0</v>
      </c>
      <c r="G11" s="93"/>
      <c r="H11" s="92">
        <f t="shared" ref="H11:H42" si="2">7*E11/100+H10</f>
        <v>0</v>
      </c>
      <c r="I11" s="93">
        <f t="shared" ref="I11:I42" si="3">IF(ISNUMBER(G11),7*G11/100+I10, )</f>
        <v>0</v>
      </c>
      <c r="J11" s="94">
        <f>IF('tuot-VKO'!F12&gt;0,'tuot-VKO'!F12,J10)</f>
        <v>0</v>
      </c>
      <c r="K11" s="96"/>
      <c r="L11" s="92">
        <f>IF(U11&lt;&gt;0,SUMPRODUCT(($J$10:J11)*($Y$10:Y11)/U11),0)</f>
        <v>0</v>
      </c>
      <c r="M11" s="93">
        <f>IF(V11&lt;&gt;0,SUMPRODUCT(($K$10:K11)*($Z$10:Z11)/V11),0)</f>
        <v>0</v>
      </c>
      <c r="N11" s="91">
        <f t="shared" ref="N11:N41" si="4">J11*Y11</f>
        <v>0</v>
      </c>
      <c r="O11" s="97">
        <f t="shared" si="0"/>
        <v>0</v>
      </c>
      <c r="P11" s="98">
        <f>P10+N11/1000</f>
        <v>0</v>
      </c>
      <c r="Q11" s="99">
        <f>Q10+O11/1000</f>
        <v>0</v>
      </c>
      <c r="R11" s="94">
        <f>IF(('tuot-VKO'!$J$5&gt;0),('tuot-VKO'!D12+'tuot-VKO'!E12)/7/$O$5*100,0)</f>
        <v>0</v>
      </c>
      <c r="S11" s="95">
        <f>IF(('tuot-VKO'!$J$5&gt;0),'tuot-VKO'!D12/7/$O$5*100,0)</f>
        <v>0</v>
      </c>
      <c r="T11" s="93" t="str">
        <f>IF(ISNUMBER(G11),G11*D11/100,"")</f>
        <v/>
      </c>
      <c r="U11" s="94">
        <f t="shared" ref="U11:U42" si="5">7*R11/100+U10</f>
        <v>0</v>
      </c>
      <c r="V11" s="93">
        <f t="shared" ref="V11:V42" si="6">IF(ISNUMBER(T11),7*T11/100+V10, )</f>
        <v>0</v>
      </c>
      <c r="W11" s="243"/>
      <c r="X11" s="243"/>
      <c r="Y11" s="243">
        <f t="shared" ref="Y11:Y42" si="7">U11-U10</f>
        <v>0</v>
      </c>
      <c r="Z11" s="243">
        <f t="shared" ref="Z11:Z42" si="8">V11-V10</f>
        <v>0</v>
      </c>
      <c r="AA11" s="243">
        <f t="shared" ref="AA11:AA42" si="9">IF(N11&gt;0,N11/7,AA10)</f>
        <v>0</v>
      </c>
      <c r="AB11" s="243" t="str">
        <f t="shared" ref="AB11:AB74" si="10">IF(E11&gt;=90,E11,"" )</f>
        <v/>
      </c>
      <c r="AC11" s="243" t="str">
        <f t="shared" si="1"/>
        <v/>
      </c>
      <c r="AD11" s="243"/>
      <c r="AE11" s="243">
        <v>100</v>
      </c>
      <c r="AF11" s="243"/>
      <c r="AG11" s="243"/>
      <c r="AH11" s="244"/>
      <c r="AI11" s="244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</row>
    <row r="12" spans="1:45" s="11" customFormat="1" ht="12.75" x14ac:dyDescent="0.2">
      <c r="A12" s="81">
        <v>17</v>
      </c>
      <c r="B12" s="91">
        <f>IF(('tuot-VKO'!$J$5&gt;0),$O$5-SUM('tuot-VKO'!$C$11:'tuot-VKO'!C13), )</f>
        <v>9990</v>
      </c>
      <c r="C12" s="92">
        <f>IF(('tuot-VKO'!$J$5&gt;0),100-(SUM('tuot-VKO'!C$11:C13))/$O$5*100, )</f>
        <v>100</v>
      </c>
      <c r="D12" s="93"/>
      <c r="E12" s="94">
        <f>IF(('tuot-VKO'!$J$5&gt;0),('tuot-VKO'!D13+'tuot-VKO'!E13)/7/B12*100, )</f>
        <v>0</v>
      </c>
      <c r="F12" s="95">
        <f>IF(('tuot-VKO'!$J$5&gt;0),'tuot-VKO'!D13/7/B12*100, )</f>
        <v>0</v>
      </c>
      <c r="G12" s="93"/>
      <c r="H12" s="92">
        <f t="shared" si="2"/>
        <v>0</v>
      </c>
      <c r="I12" s="93">
        <f t="shared" si="3"/>
        <v>0</v>
      </c>
      <c r="J12" s="94">
        <f>IF('tuot-VKO'!F13&gt;0,'tuot-VKO'!F13,J11)</f>
        <v>0</v>
      </c>
      <c r="K12" s="96"/>
      <c r="L12" s="92">
        <f>IF(U12&lt;&gt;0,SUMPRODUCT(($J$10:J12)*($Y$10:Y12)/U12),0)</f>
        <v>0</v>
      </c>
      <c r="M12" s="93">
        <f>IF(V12&lt;&gt;0,SUMPRODUCT(($K$10:K12)*($Z$10:Z12)/V12),0)</f>
        <v>0</v>
      </c>
      <c r="N12" s="91">
        <f t="shared" si="4"/>
        <v>0</v>
      </c>
      <c r="O12" s="97">
        <f t="shared" si="0"/>
        <v>0</v>
      </c>
      <c r="P12" s="98">
        <f t="shared" ref="P12:Q27" si="11">P11+N12/1000</f>
        <v>0</v>
      </c>
      <c r="Q12" s="99">
        <f>Q11+O12/1000</f>
        <v>0</v>
      </c>
      <c r="R12" s="94">
        <f>IF(('tuot-VKO'!$J$5&gt;0),('tuot-VKO'!D13+'tuot-VKO'!E13)/7/$O$5*100,0)</f>
        <v>0</v>
      </c>
      <c r="S12" s="95">
        <f>IF(('tuot-VKO'!$J$5&gt;0),'tuot-VKO'!D13/7/$O$5*100,0)</f>
        <v>0</v>
      </c>
      <c r="T12" s="93" t="str">
        <f>IF(ISNUMBER(G12),G12*D12/100,"")</f>
        <v/>
      </c>
      <c r="U12" s="94">
        <f t="shared" si="5"/>
        <v>0</v>
      </c>
      <c r="V12" s="93">
        <f t="shared" si="6"/>
        <v>0</v>
      </c>
      <c r="W12" s="243"/>
      <c r="X12" s="243"/>
      <c r="Y12" s="243">
        <f t="shared" si="7"/>
        <v>0</v>
      </c>
      <c r="Z12" s="243">
        <f t="shared" si="8"/>
        <v>0</v>
      </c>
      <c r="AA12" s="243">
        <f t="shared" si="9"/>
        <v>0</v>
      </c>
      <c r="AB12" s="243" t="str">
        <f t="shared" si="10"/>
        <v/>
      </c>
      <c r="AC12" s="243" t="str">
        <f t="shared" si="1"/>
        <v/>
      </c>
      <c r="AD12" s="243">
        <f t="shared" ref="AD12:AD43" si="12">IF(U12&gt;U11,V12,AD11)</f>
        <v>0</v>
      </c>
      <c r="AE12" s="243">
        <f t="shared" ref="AE12:AE43" si="13">IF(C12&lt;C11,D12,AE11)</f>
        <v>100</v>
      </c>
      <c r="AF12" s="243">
        <f t="shared" ref="AF12:AF43" si="14">IF(L12&gt;L11,M12,AF11)</f>
        <v>0</v>
      </c>
      <c r="AG12" s="243">
        <f t="shared" ref="AG12:AG43" si="15">IF(N12&gt;0,Q12,AG11)</f>
        <v>0</v>
      </c>
      <c r="AH12" s="244"/>
      <c r="AI12" s="244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</row>
    <row r="13" spans="1:45" s="11" customFormat="1" ht="12.75" x14ac:dyDescent="0.2">
      <c r="A13" s="81">
        <v>18</v>
      </c>
      <c r="B13" s="91">
        <f>IF(('tuot-VKO'!$J$5&gt;0),$O$5-SUM('tuot-VKO'!$C$11:'tuot-VKO'!C14), )</f>
        <v>9990</v>
      </c>
      <c r="C13" s="92">
        <f>IF(('tuot-VKO'!$J$5&gt;0),100-(SUM('tuot-VKO'!C$11:C14))/$O$5*100, )</f>
        <v>100</v>
      </c>
      <c r="D13" s="93"/>
      <c r="E13" s="94">
        <f>IF(('tuot-VKO'!$J$5&gt;0),('tuot-VKO'!D14+'tuot-VKO'!E14)/7/B13*100, )</f>
        <v>0</v>
      </c>
      <c r="F13" s="95">
        <f>IF(('tuot-VKO'!$J$5&gt;0),'tuot-VKO'!D14/7/B13*100, )</f>
        <v>0</v>
      </c>
      <c r="G13" s="93"/>
      <c r="H13" s="92">
        <f t="shared" si="2"/>
        <v>0</v>
      </c>
      <c r="I13" s="93">
        <f t="shared" si="3"/>
        <v>0</v>
      </c>
      <c r="J13" s="94">
        <f>IF('tuot-VKO'!F14&gt;0,'tuot-VKO'!F14,J12)</f>
        <v>0</v>
      </c>
      <c r="K13" s="96"/>
      <c r="L13" s="92">
        <f>IF(U13&lt;&gt;0,SUMPRODUCT(($J$10:J13)*($Y$10:Y13)/U13),0)</f>
        <v>0</v>
      </c>
      <c r="M13" s="93">
        <f>IF(V13&lt;&gt;0,SUMPRODUCT(($K$10:K13)*($Z$10:Z13)/V13),0)</f>
        <v>0</v>
      </c>
      <c r="N13" s="91">
        <f t="shared" si="4"/>
        <v>0</v>
      </c>
      <c r="O13" s="97">
        <f t="shared" si="0"/>
        <v>0</v>
      </c>
      <c r="P13" s="98">
        <f t="shared" si="11"/>
        <v>0</v>
      </c>
      <c r="Q13" s="99">
        <f t="shared" si="11"/>
        <v>0</v>
      </c>
      <c r="R13" s="94">
        <f>IF(('tuot-VKO'!$J$5&gt;0),('tuot-VKO'!D14+'tuot-VKO'!E14)/7/$O$5*100,0)</f>
        <v>0</v>
      </c>
      <c r="S13" s="95">
        <f>IF(('tuot-VKO'!$J$5&gt;0),'tuot-VKO'!D14/7/$O$5*100,0)</f>
        <v>0</v>
      </c>
      <c r="T13" s="93" t="str">
        <f>IF(ISNUMBER(G13),G13*D13/100,"")</f>
        <v/>
      </c>
      <c r="U13" s="94">
        <f t="shared" si="5"/>
        <v>0</v>
      </c>
      <c r="V13" s="93">
        <f t="shared" si="6"/>
        <v>0</v>
      </c>
      <c r="W13" s="243"/>
      <c r="X13" s="243"/>
      <c r="Y13" s="243">
        <f t="shared" si="7"/>
        <v>0</v>
      </c>
      <c r="Z13" s="243">
        <f>V13-V12</f>
        <v>0</v>
      </c>
      <c r="AA13" s="243">
        <f t="shared" si="9"/>
        <v>0</v>
      </c>
      <c r="AB13" s="243" t="str">
        <f t="shared" si="10"/>
        <v/>
      </c>
      <c r="AC13" s="243" t="str">
        <f t="shared" si="1"/>
        <v/>
      </c>
      <c r="AD13" s="243">
        <f t="shared" si="12"/>
        <v>0</v>
      </c>
      <c r="AE13" s="243">
        <f>IF(C13&lt;C12,D13,AE12)</f>
        <v>100</v>
      </c>
      <c r="AF13" s="243">
        <f t="shared" si="14"/>
        <v>0</v>
      </c>
      <c r="AG13" s="243">
        <f t="shared" si="15"/>
        <v>0</v>
      </c>
      <c r="AH13" s="244"/>
      <c r="AI13" s="244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</row>
    <row r="14" spans="1:45" s="11" customFormat="1" x14ac:dyDescent="0.25">
      <c r="A14" s="81">
        <v>19</v>
      </c>
      <c r="B14" s="91">
        <f>IF(('tuot-VKO'!$J$5&gt;0),$O$5-SUM('tuot-VKO'!$C$11:'tuot-VKO'!C15), )</f>
        <v>9990</v>
      </c>
      <c r="C14" s="92">
        <f>IF(('tuot-VKO'!$J$5&gt;0),100-(SUM('tuot-VKO'!C$11:C15))/$O$5*100, )</f>
        <v>100</v>
      </c>
      <c r="D14" s="93">
        <f>IFERROR(T14/G14*100,100)</f>
        <v>100</v>
      </c>
      <c r="E14" s="94">
        <f>IF(('tuot-VKO'!$J$5&gt;0),('tuot-VKO'!D15+'tuot-VKO'!E15)/7/B14*100, )</f>
        <v>0</v>
      </c>
      <c r="F14" s="95">
        <f>IF(('tuot-VKO'!$J$5&gt;0),'tuot-VKO'!D15/7/B14*100, )</f>
        <v>0</v>
      </c>
      <c r="G14" s="93">
        <f t="shared" ref="G14:G45" si="16">CHOOSE($W$8,AH14,AI14,AJ14,AK14,AK14)</f>
        <v>10</v>
      </c>
      <c r="H14" s="92">
        <f t="shared" si="2"/>
        <v>0</v>
      </c>
      <c r="I14" s="93">
        <f>IF(ISNUMBER(G14),7*G14/100+I13, )</f>
        <v>0.7</v>
      </c>
      <c r="J14" s="94">
        <f>IF('tuot-VKO'!F15&gt;0,'tuot-VKO'!F15,J13)</f>
        <v>0</v>
      </c>
      <c r="K14" s="236">
        <f t="shared" ref="K14:K45" si="17">CHOOSE($W$8,AL14,AM14,AN14,AO14,AO14)</f>
        <v>44</v>
      </c>
      <c r="L14" s="235">
        <f>IF(U14&lt;&gt;0,SUMPRODUCT(($J$10:J14)*($Y$10:Y14)/U14),0)</f>
        <v>0</v>
      </c>
      <c r="M14" s="93">
        <f>IF(V14&lt;&gt;0,SUMPRODUCT(($K$10:K14)*($Z$10:Z14)/V14),0)</f>
        <v>44</v>
      </c>
      <c r="N14" s="91">
        <f t="shared" si="4"/>
        <v>0</v>
      </c>
      <c r="O14" s="97">
        <f>ROUND(K14*Z14/10,0)*10</f>
        <v>30</v>
      </c>
      <c r="P14" s="98">
        <f t="shared" si="11"/>
        <v>0</v>
      </c>
      <c r="Q14" s="99">
        <f>Q13+O14/1000</f>
        <v>0.03</v>
      </c>
      <c r="R14" s="94">
        <f>IF(('tuot-VKO'!$J$5&gt;0),('tuot-VKO'!D15+'tuot-VKO'!E15)/7/$O$5*100,0)</f>
        <v>0</v>
      </c>
      <c r="S14" s="95">
        <f>IF(('tuot-VKO'!$J$5&gt;0),'tuot-VKO'!D15/7/$O$5*100,0)</f>
        <v>0</v>
      </c>
      <c r="T14" s="236">
        <f t="shared" ref="T14:T45" si="18">CHOOSE($W$8,AP14,AQ14,AR14,AS14)</f>
        <v>10</v>
      </c>
      <c r="U14" s="94">
        <f t="shared" si="5"/>
        <v>0</v>
      </c>
      <c r="V14" s="93">
        <f t="shared" si="6"/>
        <v>0.7</v>
      </c>
      <c r="W14" s="245">
        <f t="shared" ref="W14:W45" si="19">G14-G14*0.07</f>
        <v>9.3000000000000007</v>
      </c>
      <c r="X14" s="245">
        <f t="shared" ref="X14:X45" si="20">G14+G14*0.03-W14</f>
        <v>1</v>
      </c>
      <c r="Y14" s="243">
        <f t="shared" si="7"/>
        <v>0</v>
      </c>
      <c r="Z14" s="243">
        <f>V14-V13</f>
        <v>0.7</v>
      </c>
      <c r="AA14" s="243">
        <f t="shared" si="9"/>
        <v>0</v>
      </c>
      <c r="AB14" s="243" t="str">
        <f t="shared" si="10"/>
        <v/>
      </c>
      <c r="AC14" s="243" t="str">
        <f t="shared" si="1"/>
        <v/>
      </c>
      <c r="AD14" s="243">
        <f t="shared" si="12"/>
        <v>0</v>
      </c>
      <c r="AE14" s="243">
        <f t="shared" si="13"/>
        <v>100</v>
      </c>
      <c r="AF14" s="243">
        <f t="shared" si="14"/>
        <v>0</v>
      </c>
      <c r="AG14" s="243">
        <f t="shared" si="15"/>
        <v>0</v>
      </c>
      <c r="AH14" s="241">
        <v>10</v>
      </c>
      <c r="AI14" s="230"/>
      <c r="AJ14" s="241">
        <v>10</v>
      </c>
      <c r="AK14" s="230"/>
      <c r="AL14" s="241">
        <v>44</v>
      </c>
      <c r="AM14" s="230"/>
      <c r="AN14" s="241">
        <v>41</v>
      </c>
      <c r="AO14" s="230"/>
      <c r="AP14" s="241">
        <v>10</v>
      </c>
      <c r="AQ14" s="230"/>
      <c r="AR14" s="241">
        <v>10</v>
      </c>
      <c r="AS14" s="230"/>
    </row>
    <row r="15" spans="1:45" s="11" customFormat="1" x14ac:dyDescent="0.25">
      <c r="A15" s="100">
        <v>20</v>
      </c>
      <c r="B15" s="101">
        <f>IF(('tuot-VKO'!$J$5&gt;0),$O$5-SUM('tuot-VKO'!$C$11:'tuot-VKO'!C16), )</f>
        <v>9990</v>
      </c>
      <c r="C15" s="102">
        <f>IF(('tuot-VKO'!$J$5&gt;0),100-(SUM('tuot-VKO'!C$11:C16))/$O$5*100, )</f>
        <v>100</v>
      </c>
      <c r="D15" s="103">
        <f t="shared" ref="D15:D78" si="21">IFERROR(T15/G15*100,100)</f>
        <v>100</v>
      </c>
      <c r="E15" s="104">
        <f>IF(('tuot-VKO'!$J$5&gt;0),('tuot-VKO'!D16+'tuot-VKO'!E16)/7/B15*100, )</f>
        <v>0</v>
      </c>
      <c r="F15" s="105">
        <f>IF(('tuot-VKO'!$J$5&gt;0),'tuot-VKO'!D16/7/B15*100, )</f>
        <v>0</v>
      </c>
      <c r="G15" s="103">
        <f t="shared" si="16"/>
        <v>40</v>
      </c>
      <c r="H15" s="102">
        <f t="shared" si="2"/>
        <v>0</v>
      </c>
      <c r="I15" s="103">
        <f>IF(ISNUMBER(G15),7*G15/100+I14, )</f>
        <v>3.5</v>
      </c>
      <c r="J15" s="104">
        <f>IF('tuot-VKO'!F16&gt;0,'tuot-VKO'!F16,J14)</f>
        <v>0</v>
      </c>
      <c r="K15" s="106">
        <f t="shared" si="17"/>
        <v>48</v>
      </c>
      <c r="L15" s="102">
        <f>IF(U15&lt;&gt;0,SUMPRODUCT(($J$10:J15)*($Y$10:Y15)/U15),0)</f>
        <v>0</v>
      </c>
      <c r="M15" s="103">
        <f>IF(V15&lt;&gt;0,SUMPRODUCT(($K$10:K15)*($Z$10:Z15)/V15),0)</f>
        <v>47.199999999999989</v>
      </c>
      <c r="N15" s="101">
        <f>J15*Y15</f>
        <v>0</v>
      </c>
      <c r="O15" s="107">
        <f>ROUND(K15*Z15/10,0)*10</f>
        <v>130</v>
      </c>
      <c r="P15" s="108">
        <f t="shared" si="11"/>
        <v>0</v>
      </c>
      <c r="Q15" s="109">
        <f>Q14+O15/1000</f>
        <v>0.16</v>
      </c>
      <c r="R15" s="104">
        <f>IF(('tuot-VKO'!$J$5&gt;0),('tuot-VKO'!D16+'tuot-VKO'!E16)/7/$O$5*100,0)</f>
        <v>0</v>
      </c>
      <c r="S15" s="105">
        <f>IF(('tuot-VKO'!$J$5&gt;0),'tuot-VKO'!D16/7/$O$5*100,0)</f>
        <v>0</v>
      </c>
      <c r="T15" s="103">
        <f t="shared" si="18"/>
        <v>40</v>
      </c>
      <c r="U15" s="104">
        <f t="shared" si="5"/>
        <v>0</v>
      </c>
      <c r="V15" s="103">
        <f t="shared" si="6"/>
        <v>3.5</v>
      </c>
      <c r="W15" s="245">
        <f>G15-G15*0.07</f>
        <v>37.200000000000003</v>
      </c>
      <c r="X15" s="245">
        <f>G15+G15*0.03-W15</f>
        <v>4</v>
      </c>
      <c r="Y15" s="243">
        <f>U15-U14</f>
        <v>0</v>
      </c>
      <c r="Z15" s="243">
        <f>V15-V14</f>
        <v>2.8</v>
      </c>
      <c r="AA15" s="243">
        <f t="shared" si="9"/>
        <v>0</v>
      </c>
      <c r="AB15" s="243" t="str">
        <f t="shared" si="10"/>
        <v/>
      </c>
      <c r="AC15" s="243" t="str">
        <f t="shared" si="1"/>
        <v/>
      </c>
      <c r="AD15" s="243">
        <f t="shared" si="12"/>
        <v>0</v>
      </c>
      <c r="AE15" s="243">
        <f t="shared" si="13"/>
        <v>100</v>
      </c>
      <c r="AF15" s="243">
        <f t="shared" si="14"/>
        <v>0</v>
      </c>
      <c r="AG15" s="243">
        <f t="shared" si="15"/>
        <v>0</v>
      </c>
      <c r="AH15" s="241">
        <v>40</v>
      </c>
      <c r="AI15" s="241">
        <v>10</v>
      </c>
      <c r="AJ15" s="241">
        <v>35</v>
      </c>
      <c r="AK15" s="241">
        <v>10</v>
      </c>
      <c r="AL15" s="241">
        <v>48</v>
      </c>
      <c r="AM15" s="241">
        <v>43.8</v>
      </c>
      <c r="AN15" s="241">
        <v>44</v>
      </c>
      <c r="AO15" s="241">
        <v>40.799999999999997</v>
      </c>
      <c r="AP15" s="241">
        <v>40</v>
      </c>
      <c r="AQ15" s="241">
        <v>10</v>
      </c>
      <c r="AR15" s="241">
        <v>35</v>
      </c>
      <c r="AS15" s="241">
        <v>10</v>
      </c>
    </row>
    <row r="16" spans="1:45" x14ac:dyDescent="0.25">
      <c r="A16" s="81">
        <v>21</v>
      </c>
      <c r="B16" s="91">
        <f>IF(('tuot-VKO'!$J$5&gt;0),$O$5-SUM('tuot-VKO'!$C$11:'tuot-VKO'!C17), )</f>
        <v>9990</v>
      </c>
      <c r="C16" s="92">
        <f>IF(('tuot-VKO'!$J$5&gt;0),100-(SUM('tuot-VKO'!C$11:C17))/$O$5*100, )</f>
        <v>100</v>
      </c>
      <c r="D16" s="93">
        <f t="shared" si="21"/>
        <v>99.833610648918466</v>
      </c>
      <c r="E16" s="94">
        <f>IF(('tuot-VKO'!$J$5&gt;0),('tuot-VKO'!D17+'tuot-VKO'!E17)/7/B16*100, )</f>
        <v>0</v>
      </c>
      <c r="F16" s="95">
        <f>IF(('tuot-VKO'!$J$5&gt;0),'tuot-VKO'!D17/7/B16*100, )</f>
        <v>0</v>
      </c>
      <c r="G16" s="93">
        <f t="shared" si="16"/>
        <v>60.1</v>
      </c>
      <c r="H16" s="92">
        <f t="shared" si="2"/>
        <v>0</v>
      </c>
      <c r="I16" s="93">
        <f>IF(ISNUMBER(G16),7*G16/100+I15, )</f>
        <v>7.7069999999999999</v>
      </c>
      <c r="J16" s="94">
        <f>IF('tuot-VKO'!F17&gt;0,'tuot-VKO'!F17,J15)</f>
        <v>0</v>
      </c>
      <c r="K16" s="96">
        <f t="shared" si="17"/>
        <v>51</v>
      </c>
      <c r="L16" s="92">
        <f>IF(U16&lt;&gt;0,SUMPRODUCT(($J$10:J16)*($Y$10:Y16)/U16),0)</f>
        <v>0</v>
      </c>
      <c r="M16" s="93">
        <f>IF(V16&lt;&gt;0,SUMPRODUCT(($K$10:K16)*($Z$10:Z16)/V16),0)</f>
        <v>49.272727272727266</v>
      </c>
      <c r="N16" s="91">
        <f t="shared" si="4"/>
        <v>0</v>
      </c>
      <c r="O16" s="97">
        <f t="shared" si="0"/>
        <v>210</v>
      </c>
      <c r="P16" s="98">
        <f t="shared" si="11"/>
        <v>0</v>
      </c>
      <c r="Q16" s="99">
        <f>Q15+O16/1000</f>
        <v>0.37</v>
      </c>
      <c r="R16" s="94">
        <f>IF(('tuot-VKO'!$J$5&gt;0),('tuot-VKO'!D17+'tuot-VKO'!E17)/7/$O$5*100,0)</f>
        <v>0</v>
      </c>
      <c r="S16" s="95">
        <f>IF(('tuot-VKO'!$J$5&gt;0),'tuot-VKO'!D17/7/$O$5*100,0)</f>
        <v>0</v>
      </c>
      <c r="T16" s="93">
        <f t="shared" si="18"/>
        <v>60</v>
      </c>
      <c r="U16" s="94">
        <f t="shared" si="5"/>
        <v>0</v>
      </c>
      <c r="V16" s="93">
        <f t="shared" si="6"/>
        <v>7.7</v>
      </c>
      <c r="W16" s="245">
        <f>G16-G16*0.07</f>
        <v>55.893000000000001</v>
      </c>
      <c r="X16" s="245">
        <f t="shared" si="20"/>
        <v>6.009999999999998</v>
      </c>
      <c r="Y16" s="243">
        <f t="shared" si="7"/>
        <v>0</v>
      </c>
      <c r="Z16" s="243">
        <f t="shared" si="8"/>
        <v>4.2</v>
      </c>
      <c r="AA16" s="243">
        <f t="shared" si="9"/>
        <v>0</v>
      </c>
      <c r="AB16" s="243" t="str">
        <f t="shared" si="10"/>
        <v/>
      </c>
      <c r="AC16" s="243" t="str">
        <f t="shared" si="1"/>
        <v/>
      </c>
      <c r="AD16" s="243">
        <f t="shared" si="12"/>
        <v>0</v>
      </c>
      <c r="AE16" s="243">
        <f t="shared" si="13"/>
        <v>100</v>
      </c>
      <c r="AF16" s="243">
        <f t="shared" si="14"/>
        <v>0</v>
      </c>
      <c r="AG16" s="243">
        <f>IF(N16&gt;0,Q16,AG15)</f>
        <v>0</v>
      </c>
      <c r="AH16" s="241">
        <v>60.1</v>
      </c>
      <c r="AI16" s="241">
        <v>40</v>
      </c>
      <c r="AJ16" s="241">
        <v>55.1</v>
      </c>
      <c r="AK16" s="241">
        <v>40</v>
      </c>
      <c r="AL16" s="241">
        <v>51</v>
      </c>
      <c r="AM16" s="241">
        <v>47.8</v>
      </c>
      <c r="AN16" s="241">
        <v>47</v>
      </c>
      <c r="AO16" s="241">
        <v>43.8</v>
      </c>
      <c r="AP16" s="241">
        <v>60</v>
      </c>
      <c r="AQ16" s="241">
        <v>40</v>
      </c>
      <c r="AR16" s="241">
        <v>55</v>
      </c>
      <c r="AS16" s="241">
        <v>40</v>
      </c>
    </row>
    <row r="17" spans="1:45" x14ac:dyDescent="0.25">
      <c r="A17" s="81">
        <v>22</v>
      </c>
      <c r="B17" s="91">
        <f>IF(('tuot-VKO'!$J$5&gt;0),$O$5-SUM('tuot-VKO'!$C$11:'tuot-VKO'!C18), )</f>
        <v>9990</v>
      </c>
      <c r="C17" s="92">
        <f>IF(('tuot-VKO'!$J$5&gt;0),100-(SUM('tuot-VKO'!C$11:C18))/$O$5*100, )</f>
        <v>100</v>
      </c>
      <c r="D17" s="93">
        <f t="shared" si="21"/>
        <v>99.734042553191486</v>
      </c>
      <c r="E17" s="94">
        <f>IF(('tuot-VKO'!$J$5&gt;0),('tuot-VKO'!D18+'tuot-VKO'!E18)/7/B17*100, )</f>
        <v>0</v>
      </c>
      <c r="F17" s="95">
        <f>IF(('tuot-VKO'!$J$5&gt;0),'tuot-VKO'!D18/7/B17*100, )</f>
        <v>0</v>
      </c>
      <c r="G17" s="93">
        <f t="shared" si="16"/>
        <v>75.2</v>
      </c>
      <c r="H17" s="92">
        <f t="shared" si="2"/>
        <v>0</v>
      </c>
      <c r="I17" s="93">
        <f t="shared" si="3"/>
        <v>12.971</v>
      </c>
      <c r="J17" s="94">
        <f>IF('tuot-VKO'!F18&gt;0,'tuot-VKO'!F18,J16)</f>
        <v>0</v>
      </c>
      <c r="K17" s="96">
        <f t="shared" si="17"/>
        <v>53</v>
      </c>
      <c r="L17" s="92">
        <f>IF(U17&lt;&gt;0,SUMPRODUCT(($J$10:J17)*($Y$10:Y17)/U17),0)</f>
        <v>0</v>
      </c>
      <c r="M17" s="93">
        <f>IF(V17&lt;&gt;0,SUMPRODUCT(($K$10:K17)*($Z$10:Z17)/V17),0)</f>
        <v>50.783783783783782</v>
      </c>
      <c r="N17" s="91">
        <f t="shared" si="4"/>
        <v>0</v>
      </c>
      <c r="O17" s="97">
        <f>ROUND(K17*Z17/10,0)*10</f>
        <v>280</v>
      </c>
      <c r="P17" s="98">
        <f t="shared" si="11"/>
        <v>0</v>
      </c>
      <c r="Q17" s="99">
        <f t="shared" si="11"/>
        <v>0.65</v>
      </c>
      <c r="R17" s="94">
        <f>IF(('tuot-VKO'!$J$5&gt;0),('tuot-VKO'!D18+'tuot-VKO'!E18)/7/$O$5*100,0)</f>
        <v>0</v>
      </c>
      <c r="S17" s="95">
        <f>IF(('tuot-VKO'!$J$5&gt;0),'tuot-VKO'!D18/7/$O$5*100,0)</f>
        <v>0</v>
      </c>
      <c r="T17" s="93">
        <f t="shared" si="18"/>
        <v>75</v>
      </c>
      <c r="U17" s="94">
        <f t="shared" si="5"/>
        <v>0</v>
      </c>
      <c r="V17" s="93">
        <f t="shared" si="6"/>
        <v>12.95</v>
      </c>
      <c r="W17" s="245">
        <f t="shared" si="19"/>
        <v>69.936000000000007</v>
      </c>
      <c r="X17" s="245">
        <f t="shared" si="20"/>
        <v>7.519999999999996</v>
      </c>
      <c r="Y17" s="243">
        <f t="shared" si="7"/>
        <v>0</v>
      </c>
      <c r="Z17" s="243">
        <f t="shared" si="8"/>
        <v>5.2499999999999991</v>
      </c>
      <c r="AA17" s="243">
        <f t="shared" si="9"/>
        <v>0</v>
      </c>
      <c r="AB17" s="243" t="str">
        <f t="shared" si="10"/>
        <v/>
      </c>
      <c r="AC17" s="243" t="str">
        <f t="shared" si="1"/>
        <v/>
      </c>
      <c r="AD17" s="243">
        <f t="shared" si="12"/>
        <v>0</v>
      </c>
      <c r="AE17" s="243">
        <f t="shared" si="13"/>
        <v>100</v>
      </c>
      <c r="AF17" s="243">
        <f t="shared" si="14"/>
        <v>0</v>
      </c>
      <c r="AG17" s="243">
        <f>IF(N17&gt;0,Q17,AG16)</f>
        <v>0</v>
      </c>
      <c r="AH17" s="241">
        <v>75.2</v>
      </c>
      <c r="AI17" s="241">
        <v>60.1</v>
      </c>
      <c r="AJ17" s="241">
        <v>73.099999999999994</v>
      </c>
      <c r="AK17" s="241">
        <v>60</v>
      </c>
      <c r="AL17" s="241">
        <v>53</v>
      </c>
      <c r="AM17" s="241">
        <v>50.8</v>
      </c>
      <c r="AN17" s="241">
        <v>49.5</v>
      </c>
      <c r="AO17" s="241">
        <v>46.8</v>
      </c>
      <c r="AP17" s="241">
        <v>75</v>
      </c>
      <c r="AQ17" s="241">
        <v>60</v>
      </c>
      <c r="AR17" s="241">
        <v>73</v>
      </c>
      <c r="AS17" s="241">
        <v>60</v>
      </c>
    </row>
    <row r="18" spans="1:45" x14ac:dyDescent="0.25">
      <c r="A18" s="81">
        <v>23</v>
      </c>
      <c r="B18" s="91">
        <f>IF(('tuot-VKO'!$J$5&gt;0),$O$5-SUM('tuot-VKO'!$C$11:'tuot-VKO'!C19), )</f>
        <v>9990</v>
      </c>
      <c r="C18" s="92">
        <f>IF(('tuot-VKO'!$J$5&gt;0),100-(SUM('tuot-VKO'!C$11:C19))/$O$5*100, )</f>
        <v>100</v>
      </c>
      <c r="D18" s="93">
        <f t="shared" si="21"/>
        <v>99.765258215962433</v>
      </c>
      <c r="E18" s="94">
        <f>IF(('tuot-VKO'!$J$5&gt;0),('tuot-VKO'!D19+'tuot-VKO'!E19)/7/B18*100, )</f>
        <v>0</v>
      </c>
      <c r="F18" s="95">
        <f>IF(('tuot-VKO'!$J$5&gt;0),'tuot-VKO'!D19/7/B18*100, )</f>
        <v>0</v>
      </c>
      <c r="G18" s="93">
        <f t="shared" si="16"/>
        <v>85.2</v>
      </c>
      <c r="H18" s="92">
        <f t="shared" si="2"/>
        <v>0</v>
      </c>
      <c r="I18" s="93">
        <f t="shared" si="3"/>
        <v>18.934999999999999</v>
      </c>
      <c r="J18" s="94">
        <f>IF('tuot-VKO'!F19&gt;0,'tuot-VKO'!F19,J17)</f>
        <v>0</v>
      </c>
      <c r="K18" s="96">
        <f t="shared" si="17"/>
        <v>54.5</v>
      </c>
      <c r="L18" s="92">
        <f>IF(U18&lt;&gt;0,SUMPRODUCT(($J$10:J18)*($Y$10:Y18)/U18),0)</f>
        <v>0</v>
      </c>
      <c r="M18" s="93">
        <f>IF(V18&lt;&gt;0,SUMPRODUCT(($K$10:K18)*($Z$10:Z18)/V18),0)</f>
        <v>51.953703703703709</v>
      </c>
      <c r="N18" s="91">
        <f t="shared" si="4"/>
        <v>0</v>
      </c>
      <c r="O18" s="97">
        <f t="shared" si="0"/>
        <v>320</v>
      </c>
      <c r="P18" s="98">
        <f t="shared" si="11"/>
        <v>0</v>
      </c>
      <c r="Q18" s="99">
        <f t="shared" si="11"/>
        <v>0.97</v>
      </c>
      <c r="R18" s="94">
        <f>IF(('tuot-VKO'!$J$5&gt;0),('tuot-VKO'!D19+'tuot-VKO'!E19)/7/$O$5*100,0)</f>
        <v>0</v>
      </c>
      <c r="S18" s="95">
        <f>IF(('tuot-VKO'!$J$5&gt;0),'tuot-VKO'!D19/7/$O$5*100,0)</f>
        <v>0</v>
      </c>
      <c r="T18" s="93">
        <f t="shared" si="18"/>
        <v>85</v>
      </c>
      <c r="U18" s="94">
        <f t="shared" si="5"/>
        <v>0</v>
      </c>
      <c r="V18" s="93">
        <f t="shared" si="6"/>
        <v>18.899999999999999</v>
      </c>
      <c r="W18" s="245">
        <f t="shared" si="19"/>
        <v>79.236000000000004</v>
      </c>
      <c r="X18" s="245">
        <f t="shared" si="20"/>
        <v>8.519999999999996</v>
      </c>
      <c r="Y18" s="243">
        <f t="shared" si="7"/>
        <v>0</v>
      </c>
      <c r="Z18" s="243">
        <f>V18-V17</f>
        <v>5.9499999999999993</v>
      </c>
      <c r="AA18" s="243">
        <f t="shared" si="9"/>
        <v>0</v>
      </c>
      <c r="AB18" s="243" t="str">
        <f t="shared" si="10"/>
        <v/>
      </c>
      <c r="AC18" s="243" t="str">
        <f t="shared" si="1"/>
        <v/>
      </c>
      <c r="AD18" s="243">
        <f t="shared" si="12"/>
        <v>0</v>
      </c>
      <c r="AE18" s="243">
        <f t="shared" si="13"/>
        <v>100</v>
      </c>
      <c r="AF18" s="243">
        <f t="shared" si="14"/>
        <v>0</v>
      </c>
      <c r="AG18" s="243">
        <f t="shared" si="15"/>
        <v>0</v>
      </c>
      <c r="AH18" s="241">
        <v>85.2</v>
      </c>
      <c r="AI18" s="241">
        <v>75.2</v>
      </c>
      <c r="AJ18" s="241">
        <v>83.2</v>
      </c>
      <c r="AK18" s="241">
        <v>75.099999999999994</v>
      </c>
      <c r="AL18" s="241">
        <v>54.5</v>
      </c>
      <c r="AM18" s="241">
        <v>52.8</v>
      </c>
      <c r="AN18" s="241">
        <v>51.8</v>
      </c>
      <c r="AO18" s="241">
        <v>49.3</v>
      </c>
      <c r="AP18" s="241">
        <v>85</v>
      </c>
      <c r="AQ18" s="241">
        <v>75</v>
      </c>
      <c r="AR18" s="241">
        <v>83</v>
      </c>
      <c r="AS18" s="241">
        <v>75</v>
      </c>
    </row>
    <row r="19" spans="1:45" x14ac:dyDescent="0.25">
      <c r="A19" s="81">
        <v>24</v>
      </c>
      <c r="B19" s="91">
        <f>IF(('tuot-VKO'!$J$5&gt;0),$O$5-SUM('tuot-VKO'!$C$11:'tuot-VKO'!C20), )</f>
        <v>9990</v>
      </c>
      <c r="C19" s="92">
        <f>IF(('tuot-VKO'!$J$5&gt;0),100-(SUM('tuot-VKO'!C$11:C20))/$O$5*100, )</f>
        <v>100</v>
      </c>
      <c r="D19" s="93">
        <f t="shared" si="21"/>
        <v>99.55752212389379</v>
      </c>
      <c r="E19" s="94">
        <f>IF(('tuot-VKO'!$J$5&gt;0),('tuot-VKO'!D20+'tuot-VKO'!E20)/7/B19*100, )</f>
        <v>0</v>
      </c>
      <c r="F19" s="95">
        <f>IF(('tuot-VKO'!$J$5&gt;0),'tuot-VKO'!D20/7/B19*100, )</f>
        <v>0</v>
      </c>
      <c r="G19" s="93">
        <f t="shared" si="16"/>
        <v>90.4</v>
      </c>
      <c r="H19" s="92">
        <f t="shared" si="2"/>
        <v>0</v>
      </c>
      <c r="I19" s="93">
        <f t="shared" si="3"/>
        <v>25.262999999999998</v>
      </c>
      <c r="J19" s="94">
        <f>IF('tuot-VKO'!F20&gt;0,'tuot-VKO'!F20,J18)</f>
        <v>0</v>
      </c>
      <c r="K19" s="96">
        <f t="shared" si="17"/>
        <v>55.8</v>
      </c>
      <c r="L19" s="92">
        <f>IF(U19&lt;&gt;0,SUMPRODUCT(($J$10:J19)*($Y$10:Y19)/U19),0)</f>
        <v>0</v>
      </c>
      <c r="M19" s="93">
        <f>IF(V19&lt;&gt;0,SUMPRODUCT(($K$10:K19)*($Z$10:Z19)/V19),0)</f>
        <v>52.915277777777781</v>
      </c>
      <c r="N19" s="91">
        <f>J19*Y19</f>
        <v>0</v>
      </c>
      <c r="O19" s="97">
        <f t="shared" si="0"/>
        <v>350</v>
      </c>
      <c r="P19" s="98">
        <f t="shared" si="11"/>
        <v>0</v>
      </c>
      <c r="Q19" s="99">
        <f t="shared" si="11"/>
        <v>1.3199999999999998</v>
      </c>
      <c r="R19" s="94">
        <f>IF(('tuot-VKO'!$J$5&gt;0),('tuot-VKO'!D20+'tuot-VKO'!E20)/7/$O$5*100,0)</f>
        <v>0</v>
      </c>
      <c r="S19" s="95">
        <f>IF(('tuot-VKO'!$J$5&gt;0),'tuot-VKO'!D20/7/$O$5*100,0)</f>
        <v>0</v>
      </c>
      <c r="T19" s="93">
        <f t="shared" si="18"/>
        <v>90</v>
      </c>
      <c r="U19" s="94">
        <f t="shared" si="5"/>
        <v>0</v>
      </c>
      <c r="V19" s="93">
        <f t="shared" si="6"/>
        <v>25.2</v>
      </c>
      <c r="W19" s="245">
        <f t="shared" si="19"/>
        <v>84.072000000000003</v>
      </c>
      <c r="X19" s="245">
        <f t="shared" si="20"/>
        <v>9.0400000000000063</v>
      </c>
      <c r="Y19" s="243">
        <f t="shared" si="7"/>
        <v>0</v>
      </c>
      <c r="Z19" s="243">
        <f t="shared" si="8"/>
        <v>6.3000000000000007</v>
      </c>
      <c r="AA19" s="243">
        <f>IF(N19&gt;0,N19/7,AA18)</f>
        <v>0</v>
      </c>
      <c r="AB19" s="243" t="str">
        <f t="shared" si="10"/>
        <v/>
      </c>
      <c r="AC19" s="243" t="str">
        <f t="shared" si="1"/>
        <v/>
      </c>
      <c r="AD19" s="243">
        <f t="shared" si="12"/>
        <v>0</v>
      </c>
      <c r="AE19" s="243">
        <f t="shared" si="13"/>
        <v>100</v>
      </c>
      <c r="AF19" s="243">
        <f>IF(L19&gt;L18,M19,AF18)</f>
        <v>0</v>
      </c>
      <c r="AG19" s="243">
        <f t="shared" si="15"/>
        <v>0</v>
      </c>
      <c r="AH19" s="241">
        <v>90.4</v>
      </c>
      <c r="AI19" s="241">
        <v>85.2</v>
      </c>
      <c r="AJ19" s="241">
        <v>89.2</v>
      </c>
      <c r="AK19" s="241">
        <v>85.2</v>
      </c>
      <c r="AL19" s="241">
        <v>55.8</v>
      </c>
      <c r="AM19" s="241">
        <v>54.6</v>
      </c>
      <c r="AN19" s="241">
        <v>53.5</v>
      </c>
      <c r="AO19" s="241">
        <v>51.6</v>
      </c>
      <c r="AP19" s="241">
        <v>90</v>
      </c>
      <c r="AQ19" s="241">
        <v>85</v>
      </c>
      <c r="AR19" s="241">
        <v>89</v>
      </c>
      <c r="AS19" s="241">
        <v>85</v>
      </c>
    </row>
    <row r="20" spans="1:45" x14ac:dyDescent="0.25">
      <c r="A20" s="100">
        <v>25</v>
      </c>
      <c r="B20" s="101">
        <f>IF(('tuot-VKO'!$J$5&gt;0),$O$5-SUM('tuot-VKO'!$C$11:'tuot-VKO'!C21), )</f>
        <v>9990</v>
      </c>
      <c r="C20" s="102">
        <f>IF(('tuot-VKO'!$J$5&gt;0),100-(SUM('tuot-VKO'!C$11:C21))/$O$5*100, )</f>
        <v>100</v>
      </c>
      <c r="D20" s="103">
        <f t="shared" si="21"/>
        <v>99.459459459459467</v>
      </c>
      <c r="E20" s="104">
        <f>IF(('tuot-VKO'!$J$5&gt;0),('tuot-VKO'!D21+'tuot-VKO'!E21)/7/B20*100, )</f>
        <v>0</v>
      </c>
      <c r="F20" s="105">
        <f>IF(('tuot-VKO'!$J$5&gt;0),'tuot-VKO'!D21/7/B20*100, )</f>
        <v>0</v>
      </c>
      <c r="G20" s="103">
        <f t="shared" si="16"/>
        <v>92.5</v>
      </c>
      <c r="H20" s="102">
        <f t="shared" si="2"/>
        <v>0</v>
      </c>
      <c r="I20" s="103">
        <f t="shared" si="3"/>
        <v>31.738</v>
      </c>
      <c r="J20" s="104">
        <f>IF('tuot-VKO'!F21&gt;0,'tuot-VKO'!F21,J19)</f>
        <v>0</v>
      </c>
      <c r="K20" s="106">
        <f t="shared" si="17"/>
        <v>56.8</v>
      </c>
      <c r="L20" s="102">
        <f>IF(U20&lt;&gt;0,SUMPRODUCT(($J$10:J20)*($Y$10:Y20)/U20),0)</f>
        <v>0</v>
      </c>
      <c r="M20" s="103">
        <f>IF(V20&lt;&gt;0,SUMPRODUCT(($K$10:K20)*($Z$10:Z20)/V20),0)</f>
        <v>53.705973451327431</v>
      </c>
      <c r="N20" s="101">
        <f t="shared" si="4"/>
        <v>0</v>
      </c>
      <c r="O20" s="107">
        <f t="shared" si="0"/>
        <v>370</v>
      </c>
      <c r="P20" s="108">
        <f t="shared" si="11"/>
        <v>0</v>
      </c>
      <c r="Q20" s="109">
        <f t="shared" si="11"/>
        <v>1.69</v>
      </c>
      <c r="R20" s="104">
        <f>IF(('tuot-VKO'!$J$5&gt;0),('tuot-VKO'!D21+'tuot-VKO'!E21)/7/$O$5*100,0)</f>
        <v>0</v>
      </c>
      <c r="S20" s="105">
        <f>IF(('tuot-VKO'!$J$5&gt;0),'tuot-VKO'!D21/7/$O$5*100,0)</f>
        <v>0</v>
      </c>
      <c r="T20" s="103">
        <f t="shared" si="18"/>
        <v>92</v>
      </c>
      <c r="U20" s="104">
        <f t="shared" si="5"/>
        <v>0</v>
      </c>
      <c r="V20" s="103">
        <f t="shared" si="6"/>
        <v>31.64</v>
      </c>
      <c r="W20" s="245">
        <f t="shared" si="19"/>
        <v>86.025000000000006</v>
      </c>
      <c r="X20" s="245">
        <f t="shared" si="20"/>
        <v>9.25</v>
      </c>
      <c r="Y20" s="243">
        <f t="shared" si="7"/>
        <v>0</v>
      </c>
      <c r="Z20" s="243">
        <f>V20-V19</f>
        <v>6.4400000000000013</v>
      </c>
      <c r="AA20" s="243">
        <f>IF(N20&gt;0,N20/7,AA19)</f>
        <v>0</v>
      </c>
      <c r="AB20" s="243" t="str">
        <f t="shared" si="10"/>
        <v/>
      </c>
      <c r="AC20" s="243" t="str">
        <f t="shared" si="1"/>
        <v/>
      </c>
      <c r="AD20" s="243">
        <f>IF(U20&gt;U19,V20,AD19)</f>
        <v>0</v>
      </c>
      <c r="AE20" s="243">
        <f t="shared" si="13"/>
        <v>100</v>
      </c>
      <c r="AF20" s="243">
        <f t="shared" si="14"/>
        <v>0</v>
      </c>
      <c r="AG20" s="243">
        <f t="shared" si="15"/>
        <v>0</v>
      </c>
      <c r="AH20" s="241">
        <v>92.5</v>
      </c>
      <c r="AI20" s="241">
        <v>90.4</v>
      </c>
      <c r="AJ20" s="241">
        <v>92.3</v>
      </c>
      <c r="AK20" s="241">
        <v>90.3</v>
      </c>
      <c r="AL20" s="241">
        <v>56.8</v>
      </c>
      <c r="AM20" s="241">
        <v>56.2</v>
      </c>
      <c r="AN20" s="241">
        <v>55</v>
      </c>
      <c r="AO20" s="241">
        <v>53.3</v>
      </c>
      <c r="AP20" s="241">
        <v>92</v>
      </c>
      <c r="AQ20" s="241">
        <v>90</v>
      </c>
      <c r="AR20" s="241">
        <v>92</v>
      </c>
      <c r="AS20" s="241">
        <v>90</v>
      </c>
    </row>
    <row r="21" spans="1:45" x14ac:dyDescent="0.25">
      <c r="A21" s="81">
        <v>26</v>
      </c>
      <c r="B21" s="91">
        <f>IF(('tuot-VKO'!$J$5&gt;0),$O$5-SUM('tuot-VKO'!$C$11:'tuot-VKO'!C22), )</f>
        <v>9990</v>
      </c>
      <c r="C21" s="92">
        <f>IF(('tuot-VKO'!$J$5&gt;0),100-(SUM('tuot-VKO'!C$11:C22))/$O$5*100, )</f>
        <v>100</v>
      </c>
      <c r="D21" s="93">
        <f t="shared" si="21"/>
        <v>99.358974358974365</v>
      </c>
      <c r="E21" s="94">
        <f>IF(('tuot-VKO'!$J$5&gt;0),('tuot-VKO'!D22+'tuot-VKO'!E22)/7/B21*100, )</f>
        <v>0</v>
      </c>
      <c r="F21" s="95">
        <f>IF(('tuot-VKO'!$J$5&gt;0),'tuot-VKO'!D22/7/B21*100, )</f>
        <v>0</v>
      </c>
      <c r="G21" s="93">
        <f t="shared" si="16"/>
        <v>93.6</v>
      </c>
      <c r="H21" s="92">
        <f t="shared" si="2"/>
        <v>0</v>
      </c>
      <c r="I21" s="93">
        <f t="shared" si="3"/>
        <v>38.29</v>
      </c>
      <c r="J21" s="94">
        <f>IF('tuot-VKO'!F22&gt;0,'tuot-VKO'!F22,J20)</f>
        <v>0</v>
      </c>
      <c r="K21" s="96">
        <f t="shared" si="17"/>
        <v>57.6</v>
      </c>
      <c r="L21" s="92">
        <f>IF(U21&lt;&gt;0,SUMPRODUCT(($J$10:J21)*($Y$10:Y21)/U21),0)</f>
        <v>0</v>
      </c>
      <c r="M21" s="93">
        <f>IF(V21&lt;&gt;0,SUMPRODUCT(($K$10:K21)*($Z$10:Z21)/V21),0)</f>
        <v>54.370458715596328</v>
      </c>
      <c r="N21" s="91">
        <f t="shared" si="4"/>
        <v>0</v>
      </c>
      <c r="O21" s="97">
        <f t="shared" si="0"/>
        <v>370</v>
      </c>
      <c r="P21" s="98">
        <f t="shared" si="11"/>
        <v>0</v>
      </c>
      <c r="Q21" s="99">
        <f t="shared" si="11"/>
        <v>2.06</v>
      </c>
      <c r="R21" s="94">
        <f>IF(('tuot-VKO'!$J$5&gt;0),('tuot-VKO'!D22+'tuot-VKO'!E22)/7/$O$5*100,0)</f>
        <v>0</v>
      </c>
      <c r="S21" s="95">
        <f>IF(('tuot-VKO'!$J$5&gt;0),'tuot-VKO'!D22/7/$O$5*100,0)</f>
        <v>0</v>
      </c>
      <c r="T21" s="93">
        <f t="shared" si="18"/>
        <v>93</v>
      </c>
      <c r="U21" s="94">
        <f t="shared" si="5"/>
        <v>0</v>
      </c>
      <c r="V21" s="93">
        <f t="shared" si="6"/>
        <v>38.15</v>
      </c>
      <c r="W21" s="245">
        <f t="shared" si="19"/>
        <v>87.047999999999988</v>
      </c>
      <c r="X21" s="245">
        <f t="shared" si="20"/>
        <v>9.36</v>
      </c>
      <c r="Y21" s="243">
        <f t="shared" si="7"/>
        <v>0</v>
      </c>
      <c r="Z21" s="243">
        <f t="shared" si="8"/>
        <v>6.509999999999998</v>
      </c>
      <c r="AA21" s="243">
        <f t="shared" si="9"/>
        <v>0</v>
      </c>
      <c r="AB21" s="243" t="str">
        <f t="shared" si="10"/>
        <v/>
      </c>
      <c r="AC21" s="243" t="str">
        <f>IF(F21&gt;0,(IF(G21&gt;=90,G21,"" )),"")</f>
        <v/>
      </c>
      <c r="AD21" s="243">
        <f t="shared" si="12"/>
        <v>0</v>
      </c>
      <c r="AE21" s="243">
        <f t="shared" si="13"/>
        <v>100</v>
      </c>
      <c r="AF21" s="243">
        <f t="shared" si="14"/>
        <v>0</v>
      </c>
      <c r="AG21" s="243">
        <f t="shared" si="15"/>
        <v>0</v>
      </c>
      <c r="AH21" s="241">
        <v>93.6</v>
      </c>
      <c r="AI21" s="241">
        <v>92.5</v>
      </c>
      <c r="AJ21" s="241">
        <v>93.8</v>
      </c>
      <c r="AK21" s="241">
        <v>92.4</v>
      </c>
      <c r="AL21" s="241">
        <v>57.6</v>
      </c>
      <c r="AM21" s="241">
        <v>57.5</v>
      </c>
      <c r="AN21" s="241">
        <v>56.4</v>
      </c>
      <c r="AO21" s="241">
        <v>54.8</v>
      </c>
      <c r="AP21" s="241">
        <v>93</v>
      </c>
      <c r="AQ21" s="241">
        <v>92</v>
      </c>
      <c r="AR21" s="241">
        <v>93.5</v>
      </c>
      <c r="AS21" s="241">
        <v>92</v>
      </c>
    </row>
    <row r="22" spans="1:45" x14ac:dyDescent="0.25">
      <c r="A22" s="81">
        <v>27</v>
      </c>
      <c r="B22" s="91">
        <f>IF(('tuot-VKO'!$J$5&gt;0),$O$5-SUM('tuot-VKO'!$C$11:'tuot-VKO'!C23), )</f>
        <v>9990</v>
      </c>
      <c r="C22" s="92">
        <f>IF(('tuot-VKO'!$J$5&gt;0),100-(SUM('tuot-VKO'!C$11:C23))/$O$5*100, )</f>
        <v>100</v>
      </c>
      <c r="D22" s="93">
        <f t="shared" si="21"/>
        <v>99.36440677966101</v>
      </c>
      <c r="E22" s="94">
        <f>IF(('tuot-VKO'!$J$5&gt;0),('tuot-VKO'!D23+'tuot-VKO'!E23)/7/B22*100, )</f>
        <v>0</v>
      </c>
      <c r="F22" s="95">
        <f>IF(('tuot-VKO'!$J$5&gt;0),'tuot-VKO'!D23/7/B22*100, )</f>
        <v>0</v>
      </c>
      <c r="G22" s="93">
        <f t="shared" si="16"/>
        <v>94.4</v>
      </c>
      <c r="H22" s="92">
        <f t="shared" si="2"/>
        <v>0</v>
      </c>
      <c r="I22" s="93">
        <f t="shared" si="3"/>
        <v>44.897999999999996</v>
      </c>
      <c r="J22" s="94">
        <f>IF('tuot-VKO'!F23&gt;0,'tuot-VKO'!F23,J21)</f>
        <v>0</v>
      </c>
      <c r="K22" s="96">
        <f t="shared" si="17"/>
        <v>58.3</v>
      </c>
      <c r="L22" s="92">
        <f>IF(U22&lt;&gt;0,SUMPRODUCT(($J$10:J22)*($Y$10:Y22)/U22),0)</f>
        <v>0</v>
      </c>
      <c r="M22" s="93">
        <f>IF(V22&lt;&gt;0,SUMPRODUCT(($K$10:K22)*($Z$10:Z22)/V22),0)</f>
        <v>54.947463994990599</v>
      </c>
      <c r="N22" s="91">
        <f t="shared" si="4"/>
        <v>0</v>
      </c>
      <c r="O22" s="97">
        <f t="shared" si="0"/>
        <v>380</v>
      </c>
      <c r="P22" s="98">
        <f t="shared" si="11"/>
        <v>0</v>
      </c>
      <c r="Q22" s="99">
        <f t="shared" si="11"/>
        <v>2.44</v>
      </c>
      <c r="R22" s="94">
        <f>IF(('tuot-VKO'!$J$5&gt;0),('tuot-VKO'!D23+'tuot-VKO'!E23)/7/$O$5*100,0)</f>
        <v>0</v>
      </c>
      <c r="S22" s="95">
        <f>IF(('tuot-VKO'!$J$5&gt;0),'tuot-VKO'!D23/7/$O$5*100,0)</f>
        <v>0</v>
      </c>
      <c r="T22" s="93">
        <f t="shared" si="18"/>
        <v>93.8</v>
      </c>
      <c r="U22" s="94">
        <f t="shared" si="5"/>
        <v>0</v>
      </c>
      <c r="V22" s="93">
        <f t="shared" si="6"/>
        <v>44.716000000000001</v>
      </c>
      <c r="W22" s="245">
        <f t="shared" si="19"/>
        <v>87.792000000000002</v>
      </c>
      <c r="X22" s="245">
        <f t="shared" si="20"/>
        <v>9.4399999999999977</v>
      </c>
      <c r="Y22" s="243">
        <f t="shared" si="7"/>
        <v>0</v>
      </c>
      <c r="Z22" s="243">
        <f t="shared" si="8"/>
        <v>6.5660000000000025</v>
      </c>
      <c r="AA22" s="243">
        <f t="shared" si="9"/>
        <v>0</v>
      </c>
      <c r="AB22" s="243" t="str">
        <f t="shared" si="10"/>
        <v/>
      </c>
      <c r="AC22" s="243" t="str">
        <f t="shared" si="1"/>
        <v/>
      </c>
      <c r="AD22" s="243">
        <f t="shared" si="12"/>
        <v>0</v>
      </c>
      <c r="AE22" s="243">
        <f t="shared" si="13"/>
        <v>100</v>
      </c>
      <c r="AF22" s="243">
        <f t="shared" si="14"/>
        <v>0</v>
      </c>
      <c r="AG22" s="243">
        <f t="shared" si="15"/>
        <v>0</v>
      </c>
      <c r="AH22" s="241">
        <v>94.4</v>
      </c>
      <c r="AI22" s="241">
        <v>93.6</v>
      </c>
      <c r="AJ22" s="241">
        <v>94.6</v>
      </c>
      <c r="AK22" s="241">
        <v>93.5</v>
      </c>
      <c r="AL22" s="241">
        <v>58.3</v>
      </c>
      <c r="AM22" s="241">
        <v>58.5</v>
      </c>
      <c r="AN22" s="241">
        <v>57.3</v>
      </c>
      <c r="AO22" s="241">
        <v>56.1</v>
      </c>
      <c r="AP22" s="241">
        <v>93.8</v>
      </c>
      <c r="AQ22" s="241">
        <v>93</v>
      </c>
      <c r="AR22" s="241">
        <v>94.3</v>
      </c>
      <c r="AS22" s="241">
        <v>93</v>
      </c>
    </row>
    <row r="23" spans="1:45" x14ac:dyDescent="0.25">
      <c r="A23" s="81">
        <v>28</v>
      </c>
      <c r="B23" s="91">
        <f>IF(('tuot-VKO'!$J$5&gt;0),$O$5-SUM('tuot-VKO'!$C$11:'tuot-VKO'!C24), )</f>
        <v>9990</v>
      </c>
      <c r="C23" s="92">
        <f>IF(('tuot-VKO'!$J$5&gt;0),100-(SUM('tuot-VKO'!C$11:C24))/$O$5*100, )</f>
        <v>100</v>
      </c>
      <c r="D23" s="93">
        <f t="shared" si="21"/>
        <v>99.262381454162281</v>
      </c>
      <c r="E23" s="94">
        <f>IF(('tuot-VKO'!$J$5&gt;0),('tuot-VKO'!D24+'tuot-VKO'!E24)/7/B23*100, )</f>
        <v>0</v>
      </c>
      <c r="F23" s="95">
        <f>IF(('tuot-VKO'!$J$5&gt;0),'tuot-VKO'!D24/7/B23*100, )</f>
        <v>0</v>
      </c>
      <c r="G23" s="93">
        <f t="shared" si="16"/>
        <v>94.9</v>
      </c>
      <c r="H23" s="92">
        <f t="shared" si="2"/>
        <v>0</v>
      </c>
      <c r="I23" s="93">
        <f t="shared" si="3"/>
        <v>51.540999999999997</v>
      </c>
      <c r="J23" s="94">
        <f>IF('tuot-VKO'!F24&gt;0,'tuot-VKO'!F24,J22)</f>
        <v>0</v>
      </c>
      <c r="K23" s="96">
        <f t="shared" si="17"/>
        <v>59</v>
      </c>
      <c r="L23" s="92">
        <f>IF(U23&lt;&gt;0,SUMPRODUCT(($J$10:J23)*($Y$10:Y23)/U23),0)</f>
        <v>0</v>
      </c>
      <c r="M23" s="93">
        <f>IF(V23&lt;&gt;0,SUMPRODUCT(($K$10:K23)*($Z$10:Z23)/V23),0)</f>
        <v>55.468267394270129</v>
      </c>
      <c r="N23" s="91">
        <f t="shared" si="4"/>
        <v>0</v>
      </c>
      <c r="O23" s="97">
        <f t="shared" si="0"/>
        <v>390</v>
      </c>
      <c r="P23" s="98">
        <f t="shared" si="11"/>
        <v>0</v>
      </c>
      <c r="Q23" s="99">
        <f t="shared" si="11"/>
        <v>2.83</v>
      </c>
      <c r="R23" s="94">
        <f>IF(('tuot-VKO'!$J$5&gt;0),('tuot-VKO'!D24+'tuot-VKO'!E24)/7/$O$5*100,0)</f>
        <v>0</v>
      </c>
      <c r="S23" s="95">
        <f>IF(('tuot-VKO'!$J$5&gt;0),'tuot-VKO'!D24/7/$O$5*100,0)</f>
        <v>0</v>
      </c>
      <c r="T23" s="93">
        <f t="shared" si="18"/>
        <v>94.2</v>
      </c>
      <c r="U23" s="94">
        <f t="shared" si="5"/>
        <v>0</v>
      </c>
      <c r="V23" s="93">
        <f t="shared" si="6"/>
        <v>51.31</v>
      </c>
      <c r="W23" s="245">
        <f t="shared" si="19"/>
        <v>88.257000000000005</v>
      </c>
      <c r="X23" s="245">
        <f t="shared" si="20"/>
        <v>9.4899999999999949</v>
      </c>
      <c r="Y23" s="243">
        <f t="shared" si="7"/>
        <v>0</v>
      </c>
      <c r="Z23" s="243">
        <f t="shared" si="8"/>
        <v>6.5940000000000012</v>
      </c>
      <c r="AA23" s="243">
        <f t="shared" si="9"/>
        <v>0</v>
      </c>
      <c r="AB23" s="243" t="str">
        <f t="shared" si="10"/>
        <v/>
      </c>
      <c r="AC23" s="243" t="str">
        <f t="shared" si="1"/>
        <v/>
      </c>
      <c r="AD23" s="243">
        <f t="shared" si="12"/>
        <v>0</v>
      </c>
      <c r="AE23" s="243">
        <f t="shared" si="13"/>
        <v>100</v>
      </c>
      <c r="AF23" s="243">
        <f t="shared" si="14"/>
        <v>0</v>
      </c>
      <c r="AG23" s="243">
        <f t="shared" si="15"/>
        <v>0</v>
      </c>
      <c r="AH23" s="241">
        <v>94.9</v>
      </c>
      <c r="AI23" s="241">
        <v>94.2</v>
      </c>
      <c r="AJ23" s="241">
        <v>95.2</v>
      </c>
      <c r="AK23" s="241">
        <v>94.1</v>
      </c>
      <c r="AL23" s="241">
        <v>59</v>
      </c>
      <c r="AM23" s="241">
        <v>59.2</v>
      </c>
      <c r="AN23" s="241">
        <v>57.9</v>
      </c>
      <c r="AO23" s="241">
        <v>57</v>
      </c>
      <c r="AP23" s="241">
        <v>94.2</v>
      </c>
      <c r="AQ23" s="241">
        <v>93.5</v>
      </c>
      <c r="AR23" s="241">
        <v>94.8</v>
      </c>
      <c r="AS23" s="241">
        <v>93.5</v>
      </c>
    </row>
    <row r="24" spans="1:45" x14ac:dyDescent="0.25">
      <c r="A24" s="81">
        <v>29</v>
      </c>
      <c r="B24" s="91">
        <f>IF(('tuot-VKO'!$J$5&gt;0),$O$5-SUM('tuot-VKO'!$C$11:'tuot-VKO'!C25), )</f>
        <v>9990</v>
      </c>
      <c r="C24" s="92">
        <f>IF(('tuot-VKO'!$J$5&gt;0),100-(SUM('tuot-VKO'!C$11:C25))/$O$5*100, )</f>
        <v>100</v>
      </c>
      <c r="D24" s="93">
        <f t="shared" si="21"/>
        <v>99.160545645330529</v>
      </c>
      <c r="E24" s="94">
        <f>IF(('tuot-VKO'!$J$5&gt;0),('tuot-VKO'!D25+'tuot-VKO'!E25)/7/B24*100, )</f>
        <v>0</v>
      </c>
      <c r="F24" s="95">
        <f>IF(('tuot-VKO'!$J$5&gt;0),'tuot-VKO'!D25/7/B24*100, )</f>
        <v>0</v>
      </c>
      <c r="G24" s="93">
        <f t="shared" si="16"/>
        <v>95.3</v>
      </c>
      <c r="H24" s="92">
        <f t="shared" si="2"/>
        <v>0</v>
      </c>
      <c r="I24" s="93">
        <f t="shared" si="3"/>
        <v>58.211999999999996</v>
      </c>
      <c r="J24" s="94">
        <f>IF('tuot-VKO'!F25&gt;0,'tuot-VKO'!F25,J23)</f>
        <v>0</v>
      </c>
      <c r="K24" s="96">
        <f t="shared" si="17"/>
        <v>59.6</v>
      </c>
      <c r="L24" s="92">
        <f>IF(U24&lt;&gt;0,SUMPRODUCT(($J$10:J24)*($Y$10:Y24)/U24),0)</f>
        <v>0</v>
      </c>
      <c r="M24" s="93">
        <f>IF(V24&lt;&gt;0,SUMPRODUCT(($K$10:K24)*($Z$10:Z24)/V24),0)</f>
        <v>55.940108761329306</v>
      </c>
      <c r="N24" s="91">
        <f t="shared" si="4"/>
        <v>0</v>
      </c>
      <c r="O24" s="97">
        <f t="shared" si="0"/>
        <v>390</v>
      </c>
      <c r="P24" s="98">
        <f t="shared" si="11"/>
        <v>0</v>
      </c>
      <c r="Q24" s="99">
        <f t="shared" si="11"/>
        <v>3.22</v>
      </c>
      <c r="R24" s="94">
        <f>IF(('tuot-VKO'!$J$5&gt;0),('tuot-VKO'!D25+'tuot-VKO'!E25)/7/$O$5*100,0)</f>
        <v>0</v>
      </c>
      <c r="S24" s="95">
        <f>IF(('tuot-VKO'!$J$5&gt;0),'tuot-VKO'!D25/7/$O$5*100,0)</f>
        <v>0</v>
      </c>
      <c r="T24" s="93">
        <f t="shared" si="18"/>
        <v>94.5</v>
      </c>
      <c r="U24" s="94">
        <f t="shared" si="5"/>
        <v>0</v>
      </c>
      <c r="V24" s="93">
        <f t="shared" si="6"/>
        <v>57.925000000000004</v>
      </c>
      <c r="W24" s="245">
        <f t="shared" si="19"/>
        <v>88.628999999999991</v>
      </c>
      <c r="X24" s="245">
        <f t="shared" si="20"/>
        <v>9.5300000000000011</v>
      </c>
      <c r="Y24" s="243">
        <f t="shared" si="7"/>
        <v>0</v>
      </c>
      <c r="Z24" s="243">
        <f t="shared" si="8"/>
        <v>6.615000000000002</v>
      </c>
      <c r="AA24" s="243">
        <f t="shared" si="9"/>
        <v>0</v>
      </c>
      <c r="AB24" s="243" t="str">
        <f t="shared" si="10"/>
        <v/>
      </c>
      <c r="AC24" s="243" t="str">
        <f t="shared" si="1"/>
        <v/>
      </c>
      <c r="AD24" s="243">
        <f t="shared" si="12"/>
        <v>0</v>
      </c>
      <c r="AE24" s="243">
        <f t="shared" si="13"/>
        <v>100</v>
      </c>
      <c r="AF24" s="243">
        <f t="shared" si="14"/>
        <v>0</v>
      </c>
      <c r="AG24" s="243">
        <f t="shared" si="15"/>
        <v>0</v>
      </c>
      <c r="AH24" s="241">
        <v>95.3</v>
      </c>
      <c r="AI24" s="241">
        <v>94.7</v>
      </c>
      <c r="AJ24" s="241">
        <v>95.5</v>
      </c>
      <c r="AK24" s="241">
        <v>94.6</v>
      </c>
      <c r="AL24" s="241">
        <v>59.6</v>
      </c>
      <c r="AM24" s="241">
        <v>59.7</v>
      </c>
      <c r="AN24" s="241">
        <v>58.4</v>
      </c>
      <c r="AO24" s="241">
        <v>57.6</v>
      </c>
      <c r="AP24" s="241">
        <v>94.5</v>
      </c>
      <c r="AQ24" s="241">
        <v>93.9</v>
      </c>
      <c r="AR24" s="241">
        <v>95</v>
      </c>
      <c r="AS24" s="241">
        <v>93.9</v>
      </c>
    </row>
    <row r="25" spans="1:45" x14ac:dyDescent="0.25">
      <c r="A25" s="100">
        <v>30</v>
      </c>
      <c r="B25" s="101">
        <f>IF(('tuot-VKO'!$J$5&gt;0),$O$5-SUM('tuot-VKO'!$C$11:'tuot-VKO'!C26), )</f>
        <v>9990</v>
      </c>
      <c r="C25" s="102">
        <f>IF(('tuot-VKO'!$J$5&gt;0),100-(SUM('tuot-VKO'!C$11:C26))/$O$5*100, )</f>
        <v>100</v>
      </c>
      <c r="D25" s="103">
        <f t="shared" si="21"/>
        <v>99.058577405857747</v>
      </c>
      <c r="E25" s="104">
        <f>IF(('tuot-VKO'!$J$5&gt;0),('tuot-VKO'!D26+'tuot-VKO'!E26)/7/B25*100, )</f>
        <v>0</v>
      </c>
      <c r="F25" s="105">
        <f>IF(('tuot-VKO'!$J$5&gt;0),'tuot-VKO'!D26/7/B25*100, )</f>
        <v>0</v>
      </c>
      <c r="G25" s="103">
        <f t="shared" si="16"/>
        <v>95.6</v>
      </c>
      <c r="H25" s="102">
        <f t="shared" si="2"/>
        <v>0</v>
      </c>
      <c r="I25" s="103">
        <f t="shared" si="3"/>
        <v>64.903999999999996</v>
      </c>
      <c r="J25" s="104">
        <f>IF('tuot-VKO'!F26&gt;0,'tuot-VKO'!F26,J24)</f>
        <v>0</v>
      </c>
      <c r="K25" s="106">
        <f t="shared" si="17"/>
        <v>60.1</v>
      </c>
      <c r="L25" s="102">
        <f>IF(U25&lt;&gt;0,SUMPRODUCT(($J$10:J25)*($Y$10:Y25)/U25),0)</f>
        <v>0</v>
      </c>
      <c r="M25" s="103">
        <f>IF(V25&lt;&gt;0,SUMPRODUCT(($K$10:K25)*($Z$10:Z25)/V25),0)</f>
        <v>56.367284753849489</v>
      </c>
      <c r="N25" s="101">
        <f t="shared" si="4"/>
        <v>0</v>
      </c>
      <c r="O25" s="107">
        <f t="shared" si="0"/>
        <v>400</v>
      </c>
      <c r="P25" s="108">
        <f t="shared" si="11"/>
        <v>0</v>
      </c>
      <c r="Q25" s="109">
        <f t="shared" si="11"/>
        <v>3.62</v>
      </c>
      <c r="R25" s="104">
        <f>IF(('tuot-VKO'!$J$5&gt;0),('tuot-VKO'!D26+'tuot-VKO'!E26)/7/$O$5*100,0)</f>
        <v>0</v>
      </c>
      <c r="S25" s="105">
        <f>IF(('tuot-VKO'!$J$5&gt;0),'tuot-VKO'!D26/7/$O$5*100,0)</f>
        <v>0</v>
      </c>
      <c r="T25" s="103">
        <f t="shared" si="18"/>
        <v>94.7</v>
      </c>
      <c r="U25" s="104">
        <f t="shared" si="5"/>
        <v>0</v>
      </c>
      <c r="V25" s="103">
        <f t="shared" si="6"/>
        <v>64.554000000000002</v>
      </c>
      <c r="W25" s="245">
        <f t="shared" si="19"/>
        <v>88.907999999999987</v>
      </c>
      <c r="X25" s="245">
        <f t="shared" si="20"/>
        <v>9.5600000000000023</v>
      </c>
      <c r="Y25" s="243">
        <f t="shared" si="7"/>
        <v>0</v>
      </c>
      <c r="Z25" s="243">
        <f t="shared" si="8"/>
        <v>6.6289999999999978</v>
      </c>
      <c r="AA25" s="243">
        <f t="shared" si="9"/>
        <v>0</v>
      </c>
      <c r="AB25" s="243" t="str">
        <f t="shared" si="10"/>
        <v/>
      </c>
      <c r="AC25" s="243" t="str">
        <f t="shared" si="1"/>
        <v/>
      </c>
      <c r="AD25" s="243">
        <f t="shared" si="12"/>
        <v>0</v>
      </c>
      <c r="AE25" s="243">
        <f t="shared" si="13"/>
        <v>100</v>
      </c>
      <c r="AF25" s="243">
        <f t="shared" si="14"/>
        <v>0</v>
      </c>
      <c r="AG25" s="243">
        <f t="shared" si="15"/>
        <v>0</v>
      </c>
      <c r="AH25" s="241">
        <v>95.6</v>
      </c>
      <c r="AI25" s="241">
        <v>95.1</v>
      </c>
      <c r="AJ25" s="241">
        <v>95.7</v>
      </c>
      <c r="AK25" s="241">
        <v>95</v>
      </c>
      <c r="AL25" s="241">
        <v>60.1</v>
      </c>
      <c r="AM25" s="241">
        <v>60.1</v>
      </c>
      <c r="AN25" s="241">
        <v>58.8</v>
      </c>
      <c r="AO25" s="241">
        <v>58.1</v>
      </c>
      <c r="AP25" s="241">
        <v>94.7</v>
      </c>
      <c r="AQ25" s="241">
        <v>94.2</v>
      </c>
      <c r="AR25" s="241">
        <v>95.1</v>
      </c>
      <c r="AS25" s="241">
        <v>94.2</v>
      </c>
    </row>
    <row r="26" spans="1:45" x14ac:dyDescent="0.25">
      <c r="A26" s="81">
        <v>31</v>
      </c>
      <c r="B26" s="91">
        <f>IF(('tuot-VKO'!$J$5&gt;0),$O$5-SUM('tuot-VKO'!$C$11:'tuot-VKO'!C27), )</f>
        <v>9990</v>
      </c>
      <c r="C26" s="92">
        <f>IF(('tuot-VKO'!$J$5&gt;0),100-(SUM('tuot-VKO'!C$11:C27))/$O$5*100, )</f>
        <v>100</v>
      </c>
      <c r="D26" s="93">
        <f t="shared" si="21"/>
        <v>98.956158663883087</v>
      </c>
      <c r="E26" s="94">
        <f>IF(('tuot-VKO'!$J$5&gt;0),('tuot-VKO'!D27+'tuot-VKO'!E27)/7/B26*100, )</f>
        <v>0</v>
      </c>
      <c r="F26" s="95">
        <f>IF(('tuot-VKO'!$J$5&gt;0),'tuot-VKO'!D27/7/B26*100, )</f>
        <v>0</v>
      </c>
      <c r="G26" s="93">
        <f t="shared" si="16"/>
        <v>95.8</v>
      </c>
      <c r="H26" s="92">
        <f t="shared" si="2"/>
        <v>0</v>
      </c>
      <c r="I26" s="93">
        <f t="shared" si="3"/>
        <v>71.61</v>
      </c>
      <c r="J26" s="94">
        <f>IF('tuot-VKO'!F27&gt;0,'tuot-VKO'!F27,J25)</f>
        <v>0</v>
      </c>
      <c r="K26" s="96">
        <f t="shared" si="17"/>
        <v>60.5</v>
      </c>
      <c r="L26" s="92">
        <f>IF(U26&lt;&gt;0,SUMPRODUCT(($J$10:J26)*($Y$10:Y26)/U26),0)</f>
        <v>0</v>
      </c>
      <c r="M26" s="93">
        <f>IF(V26&lt;&gt;0,SUMPRODUCT(($K$10:K26)*($Z$10:Z26)/V26),0)</f>
        <v>56.752517207472948</v>
      </c>
      <c r="N26" s="91">
        <f t="shared" si="4"/>
        <v>0</v>
      </c>
      <c r="O26" s="97">
        <f t="shared" si="0"/>
        <v>400</v>
      </c>
      <c r="P26" s="98">
        <f t="shared" si="11"/>
        <v>0</v>
      </c>
      <c r="Q26" s="99">
        <f t="shared" si="11"/>
        <v>4.0200000000000005</v>
      </c>
      <c r="R26" s="94">
        <f>IF(('tuot-VKO'!$J$5&gt;0),('tuot-VKO'!D27+'tuot-VKO'!E27)/7/$O$5*100,0)</f>
        <v>0</v>
      </c>
      <c r="S26" s="95">
        <f>IF(('tuot-VKO'!$J$5&gt;0),'tuot-VKO'!D27/7/$O$5*100,0)</f>
        <v>0</v>
      </c>
      <c r="T26" s="93">
        <f t="shared" si="18"/>
        <v>94.8</v>
      </c>
      <c r="U26" s="94">
        <f t="shared" si="5"/>
        <v>0</v>
      </c>
      <c r="V26" s="93">
        <f t="shared" si="6"/>
        <v>71.19</v>
      </c>
      <c r="W26" s="245">
        <f t="shared" si="19"/>
        <v>89.093999999999994</v>
      </c>
      <c r="X26" s="245">
        <f t="shared" si="20"/>
        <v>9.5799999999999983</v>
      </c>
      <c r="Y26" s="243">
        <f t="shared" si="7"/>
        <v>0</v>
      </c>
      <c r="Z26" s="243">
        <f t="shared" si="8"/>
        <v>6.6359999999999957</v>
      </c>
      <c r="AA26" s="243">
        <f t="shared" si="9"/>
        <v>0</v>
      </c>
      <c r="AB26" s="243" t="str">
        <f t="shared" si="10"/>
        <v/>
      </c>
      <c r="AC26" s="243" t="str">
        <f t="shared" si="1"/>
        <v/>
      </c>
      <c r="AD26" s="243">
        <f t="shared" si="12"/>
        <v>0</v>
      </c>
      <c r="AE26" s="243">
        <f t="shared" si="13"/>
        <v>100</v>
      </c>
      <c r="AF26" s="243">
        <f t="shared" si="14"/>
        <v>0</v>
      </c>
      <c r="AG26" s="243">
        <f t="shared" si="15"/>
        <v>0</v>
      </c>
      <c r="AH26" s="241">
        <v>95.8</v>
      </c>
      <c r="AI26" s="241">
        <v>95.4</v>
      </c>
      <c r="AJ26" s="241">
        <v>95.9</v>
      </c>
      <c r="AK26" s="241">
        <v>95.3</v>
      </c>
      <c r="AL26" s="241">
        <v>60.5</v>
      </c>
      <c r="AM26" s="241">
        <v>60.5</v>
      </c>
      <c r="AN26" s="241">
        <v>59.2</v>
      </c>
      <c r="AO26" s="241">
        <v>58.5</v>
      </c>
      <c r="AP26" s="241">
        <v>94.8</v>
      </c>
      <c r="AQ26" s="241">
        <v>94.4</v>
      </c>
      <c r="AR26" s="241">
        <v>95.2</v>
      </c>
      <c r="AS26" s="241">
        <v>94.4</v>
      </c>
    </row>
    <row r="27" spans="1:45" x14ac:dyDescent="0.25">
      <c r="A27" s="81">
        <v>32</v>
      </c>
      <c r="B27" s="91">
        <f>IF(('tuot-VKO'!$J$5&gt;0),$O$5-SUM('tuot-VKO'!$C$11:'tuot-VKO'!C28), )</f>
        <v>9990</v>
      </c>
      <c r="C27" s="92">
        <f>IF(('tuot-VKO'!$J$5&gt;0),100-(SUM('tuot-VKO'!C$11:C28))/$O$5*100, )</f>
        <v>100</v>
      </c>
      <c r="D27" s="93">
        <f t="shared" si="21"/>
        <v>98.75</v>
      </c>
      <c r="E27" s="94">
        <f>IF(('tuot-VKO'!$J$5&gt;0),('tuot-VKO'!D28+'tuot-VKO'!E28)/7/B27*100, )</f>
        <v>0</v>
      </c>
      <c r="F27" s="95">
        <f>IF(('tuot-VKO'!$J$5&gt;0),'tuot-VKO'!D28/7/B27*100, )</f>
        <v>0</v>
      </c>
      <c r="G27" s="93">
        <f t="shared" si="16"/>
        <v>96</v>
      </c>
      <c r="H27" s="92">
        <f t="shared" si="2"/>
        <v>0</v>
      </c>
      <c r="I27" s="93">
        <f t="shared" si="3"/>
        <v>78.33</v>
      </c>
      <c r="J27" s="94">
        <f>IF('tuot-VKO'!F28&gt;0,'tuot-VKO'!F28,J26)</f>
        <v>0</v>
      </c>
      <c r="K27" s="96">
        <f t="shared" si="17"/>
        <v>60.9</v>
      </c>
      <c r="L27" s="92">
        <f>IF(U27&lt;&gt;0,SUMPRODUCT(($J$10:J27)*($Y$10:Y27)/U27),0)</f>
        <v>0</v>
      </c>
      <c r="M27" s="93">
        <f>IF(V27&lt;&gt;0,SUMPRODUCT(($K$10:K27)*($Z$10:Z27)/V27),0)</f>
        <v>57.106161180068348</v>
      </c>
      <c r="N27" s="91">
        <f t="shared" si="4"/>
        <v>0</v>
      </c>
      <c r="O27" s="97">
        <f t="shared" si="0"/>
        <v>400</v>
      </c>
      <c r="P27" s="98">
        <f t="shared" si="11"/>
        <v>0</v>
      </c>
      <c r="Q27" s="99">
        <f t="shared" si="11"/>
        <v>4.4200000000000008</v>
      </c>
      <c r="R27" s="94">
        <f>IF(('tuot-VKO'!$J$5&gt;0),('tuot-VKO'!D28+'tuot-VKO'!E28)/7/$O$5*100,0)</f>
        <v>0</v>
      </c>
      <c r="S27" s="95">
        <f>IF(('tuot-VKO'!$J$5&gt;0),'tuot-VKO'!D28/7/$O$5*100,0)</f>
        <v>0</v>
      </c>
      <c r="T27" s="93">
        <f t="shared" si="18"/>
        <v>94.8</v>
      </c>
      <c r="U27" s="94">
        <f t="shared" si="5"/>
        <v>0</v>
      </c>
      <c r="V27" s="93">
        <f t="shared" si="6"/>
        <v>77.825999999999993</v>
      </c>
      <c r="W27" s="245">
        <f t="shared" si="19"/>
        <v>89.28</v>
      </c>
      <c r="X27" s="245">
        <f t="shared" si="20"/>
        <v>9.5999999999999943</v>
      </c>
      <c r="Y27" s="243">
        <f t="shared" si="7"/>
        <v>0</v>
      </c>
      <c r="Z27" s="243">
        <f t="shared" si="8"/>
        <v>6.6359999999999957</v>
      </c>
      <c r="AA27" s="243">
        <f t="shared" si="9"/>
        <v>0</v>
      </c>
      <c r="AB27" s="243" t="str">
        <f t="shared" si="10"/>
        <v/>
      </c>
      <c r="AC27" s="243" t="str">
        <f t="shared" si="1"/>
        <v/>
      </c>
      <c r="AD27" s="243">
        <f t="shared" si="12"/>
        <v>0</v>
      </c>
      <c r="AE27" s="243">
        <f t="shared" si="13"/>
        <v>100</v>
      </c>
      <c r="AF27" s="243">
        <f t="shared" si="14"/>
        <v>0</v>
      </c>
      <c r="AG27" s="243">
        <f t="shared" si="15"/>
        <v>0</v>
      </c>
      <c r="AH27" s="241">
        <v>96</v>
      </c>
      <c r="AI27" s="241">
        <v>95.6</v>
      </c>
      <c r="AJ27" s="241">
        <v>96</v>
      </c>
      <c r="AK27" s="241">
        <v>95.5</v>
      </c>
      <c r="AL27" s="241">
        <v>60.9</v>
      </c>
      <c r="AM27" s="241">
        <v>60.8</v>
      </c>
      <c r="AN27" s="241">
        <v>59.6</v>
      </c>
      <c r="AO27" s="241">
        <v>58.9</v>
      </c>
      <c r="AP27" s="241">
        <v>94.8</v>
      </c>
      <c r="AQ27" s="241">
        <v>94.5</v>
      </c>
      <c r="AR27" s="241">
        <v>95.3</v>
      </c>
      <c r="AS27" s="241">
        <v>94.5</v>
      </c>
    </row>
    <row r="28" spans="1:45" x14ac:dyDescent="0.25">
      <c r="A28" s="81">
        <v>33</v>
      </c>
      <c r="B28" s="91">
        <f>IF(('tuot-VKO'!$J$5&gt;0),$O$5-SUM('tuot-VKO'!$C$11:'tuot-VKO'!C29), )</f>
        <v>9990</v>
      </c>
      <c r="C28" s="92">
        <f>IF(('tuot-VKO'!$J$5&gt;0),100-(SUM('tuot-VKO'!C$11:C29))/$O$5*100, )</f>
        <v>100</v>
      </c>
      <c r="D28" s="93">
        <f t="shared" si="21"/>
        <v>98.75</v>
      </c>
      <c r="E28" s="94">
        <f>IF(('tuot-VKO'!$J$5&gt;0),('tuot-VKO'!D29+'tuot-VKO'!E29)/7/B28*100, )</f>
        <v>0</v>
      </c>
      <c r="F28" s="95">
        <f>IF(('tuot-VKO'!$J$5&gt;0),'tuot-VKO'!D29/7/B28*100, )</f>
        <v>0</v>
      </c>
      <c r="G28" s="93">
        <f t="shared" si="16"/>
        <v>96</v>
      </c>
      <c r="H28" s="92">
        <f t="shared" si="2"/>
        <v>0</v>
      </c>
      <c r="I28" s="93">
        <f t="shared" si="3"/>
        <v>85.05</v>
      </c>
      <c r="J28" s="94">
        <f>IF('tuot-VKO'!F29&gt;0,'tuot-VKO'!F29,J27)</f>
        <v>0</v>
      </c>
      <c r="K28" s="96">
        <f t="shared" si="17"/>
        <v>61.3</v>
      </c>
      <c r="L28" s="92">
        <f>IF(U28&lt;&gt;0,SUMPRODUCT(($J$10:J28)*($Y$10:Y28)/U28),0)</f>
        <v>0</v>
      </c>
      <c r="M28" s="93">
        <f>IF(V28&lt;&gt;0,SUMPRODUCT(($K$10:K28)*($Z$10:Z28)/V28),0)</f>
        <v>57.435662191281281</v>
      </c>
      <c r="N28" s="91">
        <f t="shared" si="4"/>
        <v>0</v>
      </c>
      <c r="O28" s="97">
        <f t="shared" si="0"/>
        <v>410</v>
      </c>
      <c r="P28" s="98">
        <f t="shared" ref="P28:Q43" si="22">P27+N28/1000</f>
        <v>0</v>
      </c>
      <c r="Q28" s="99">
        <f t="shared" si="22"/>
        <v>4.830000000000001</v>
      </c>
      <c r="R28" s="94">
        <f>IF(('tuot-VKO'!$J$5&gt;0),('tuot-VKO'!D29+'tuot-VKO'!E29)/7/$O$5*100,0)</f>
        <v>0</v>
      </c>
      <c r="S28" s="95">
        <f>IF(('tuot-VKO'!$J$5&gt;0),'tuot-VKO'!D29/7/$O$5*100,0)</f>
        <v>0</v>
      </c>
      <c r="T28" s="93">
        <f t="shared" si="18"/>
        <v>94.8</v>
      </c>
      <c r="U28" s="94">
        <f t="shared" si="5"/>
        <v>0</v>
      </c>
      <c r="V28" s="93">
        <f t="shared" si="6"/>
        <v>84.461999999999989</v>
      </c>
      <c r="W28" s="245">
        <f t="shared" si="19"/>
        <v>89.28</v>
      </c>
      <c r="X28" s="245">
        <f t="shared" si="20"/>
        <v>9.5999999999999943</v>
      </c>
      <c r="Y28" s="243">
        <f t="shared" si="7"/>
        <v>0</v>
      </c>
      <c r="Z28" s="243">
        <f t="shared" si="8"/>
        <v>6.6359999999999957</v>
      </c>
      <c r="AA28" s="243">
        <f t="shared" si="9"/>
        <v>0</v>
      </c>
      <c r="AB28" s="243" t="str">
        <f t="shared" si="10"/>
        <v/>
      </c>
      <c r="AC28" s="243" t="str">
        <f t="shared" si="1"/>
        <v/>
      </c>
      <c r="AD28" s="243">
        <f t="shared" si="12"/>
        <v>0</v>
      </c>
      <c r="AE28" s="243">
        <f t="shared" si="13"/>
        <v>100</v>
      </c>
      <c r="AF28" s="243">
        <f t="shared" si="14"/>
        <v>0</v>
      </c>
      <c r="AG28" s="243">
        <f t="shared" si="15"/>
        <v>0</v>
      </c>
      <c r="AH28" s="241">
        <v>96</v>
      </c>
      <c r="AI28" s="241">
        <v>95.7</v>
      </c>
      <c r="AJ28" s="241">
        <v>96.2</v>
      </c>
      <c r="AK28" s="241">
        <v>95.7</v>
      </c>
      <c r="AL28" s="241">
        <v>61.3</v>
      </c>
      <c r="AM28" s="241">
        <v>61</v>
      </c>
      <c r="AN28" s="241">
        <v>60</v>
      </c>
      <c r="AO28" s="241">
        <v>59.3</v>
      </c>
      <c r="AP28" s="241">
        <v>94.8</v>
      </c>
      <c r="AQ28" s="241">
        <v>94.6</v>
      </c>
      <c r="AR28" s="241">
        <v>95.3</v>
      </c>
      <c r="AS28" s="241">
        <v>94.6</v>
      </c>
    </row>
    <row r="29" spans="1:45" x14ac:dyDescent="0.25">
      <c r="A29" s="81">
        <v>34</v>
      </c>
      <c r="B29" s="91">
        <f>IF(('tuot-VKO'!$J$5&gt;0),$O$5-SUM('tuot-VKO'!$C$11:'tuot-VKO'!C30), )</f>
        <v>9990</v>
      </c>
      <c r="C29" s="92">
        <f>IF(('tuot-VKO'!$J$5&gt;0),100-(SUM('tuot-VKO'!C$11:C30))/$O$5*100, )</f>
        <v>100</v>
      </c>
      <c r="D29" s="93">
        <f t="shared" si="21"/>
        <v>98.647242455775242</v>
      </c>
      <c r="E29" s="94">
        <f>IF(('tuot-VKO'!$J$5&gt;0),('tuot-VKO'!D30+'tuot-VKO'!E30)/7/B29*100, )</f>
        <v>0</v>
      </c>
      <c r="F29" s="95">
        <f>IF(('tuot-VKO'!$J$5&gt;0),'tuot-VKO'!D30/7/B29*100, )</f>
        <v>0</v>
      </c>
      <c r="G29" s="93">
        <f t="shared" si="16"/>
        <v>96.1</v>
      </c>
      <c r="H29" s="92">
        <f t="shared" si="2"/>
        <v>0</v>
      </c>
      <c r="I29" s="93">
        <f t="shared" si="3"/>
        <v>91.777000000000001</v>
      </c>
      <c r="J29" s="94">
        <f>IF('tuot-VKO'!F30&gt;0,'tuot-VKO'!F30,J28)</f>
        <v>0</v>
      </c>
      <c r="K29" s="96">
        <f t="shared" si="17"/>
        <v>61.6</v>
      </c>
      <c r="L29" s="92">
        <f>IF(U29&lt;&gt;0,SUMPRODUCT(($J$10:J29)*($Y$10:Y29)/U29),0)</f>
        <v>0</v>
      </c>
      <c r="M29" s="93">
        <f>IF(V29&lt;&gt;0,SUMPRODUCT(($K$10:K29)*($Z$10:Z29)/V29),0)</f>
        <v>57.739011833410174</v>
      </c>
      <c r="N29" s="91">
        <f t="shared" si="4"/>
        <v>0</v>
      </c>
      <c r="O29" s="97">
        <f t="shared" si="0"/>
        <v>410</v>
      </c>
      <c r="P29" s="98">
        <f t="shared" si="22"/>
        <v>0</v>
      </c>
      <c r="Q29" s="99">
        <f t="shared" si="22"/>
        <v>5.2400000000000011</v>
      </c>
      <c r="R29" s="94">
        <f>IF(('tuot-VKO'!$J$5&gt;0),('tuot-VKO'!D30+'tuot-VKO'!E30)/7/$O$5*100,0)</f>
        <v>0</v>
      </c>
      <c r="S29" s="95">
        <f>IF(('tuot-VKO'!$J$5&gt;0),'tuot-VKO'!D30/7/$O$5*100,0)</f>
        <v>0</v>
      </c>
      <c r="T29" s="93">
        <f t="shared" si="18"/>
        <v>94.8</v>
      </c>
      <c r="U29" s="94">
        <f t="shared" si="5"/>
        <v>0</v>
      </c>
      <c r="V29" s="93">
        <f t="shared" si="6"/>
        <v>91.097999999999985</v>
      </c>
      <c r="W29" s="245">
        <f t="shared" si="19"/>
        <v>89.37299999999999</v>
      </c>
      <c r="X29" s="245">
        <f t="shared" si="20"/>
        <v>9.61</v>
      </c>
      <c r="Y29" s="243">
        <f t="shared" si="7"/>
        <v>0</v>
      </c>
      <c r="Z29" s="243">
        <f t="shared" si="8"/>
        <v>6.6359999999999957</v>
      </c>
      <c r="AA29" s="243">
        <f t="shared" si="9"/>
        <v>0</v>
      </c>
      <c r="AB29" s="243" t="str">
        <f t="shared" si="10"/>
        <v/>
      </c>
      <c r="AC29" s="243" t="str">
        <f t="shared" si="1"/>
        <v/>
      </c>
      <c r="AD29" s="243">
        <f t="shared" si="12"/>
        <v>0</v>
      </c>
      <c r="AE29" s="243">
        <f t="shared" si="13"/>
        <v>100</v>
      </c>
      <c r="AF29" s="243">
        <f t="shared" si="14"/>
        <v>0</v>
      </c>
      <c r="AG29" s="243">
        <f t="shared" si="15"/>
        <v>0</v>
      </c>
      <c r="AH29" s="241">
        <v>96.1</v>
      </c>
      <c r="AI29" s="241">
        <v>95.8</v>
      </c>
      <c r="AJ29" s="241">
        <v>96.3</v>
      </c>
      <c r="AK29" s="241">
        <v>95.9</v>
      </c>
      <c r="AL29" s="241">
        <v>61.6</v>
      </c>
      <c r="AM29" s="241">
        <v>61.2</v>
      </c>
      <c r="AN29" s="241">
        <v>60.4</v>
      </c>
      <c r="AO29" s="241">
        <v>59.7</v>
      </c>
      <c r="AP29" s="241">
        <v>94.8</v>
      </c>
      <c r="AQ29" s="241">
        <v>94.6</v>
      </c>
      <c r="AR29" s="241">
        <v>95.3</v>
      </c>
      <c r="AS29" s="241">
        <v>94.7</v>
      </c>
    </row>
    <row r="30" spans="1:45" x14ac:dyDescent="0.25">
      <c r="A30" s="100">
        <v>35</v>
      </c>
      <c r="B30" s="101">
        <f>IF(('tuot-VKO'!$J$5&gt;0),$O$5-SUM('tuot-VKO'!$C$11:'tuot-VKO'!C31), )</f>
        <v>9990</v>
      </c>
      <c r="C30" s="102">
        <f>IF(('tuot-VKO'!$J$5&gt;0),100-(SUM('tuot-VKO'!C$11:C31))/$O$5*100, )</f>
        <v>100</v>
      </c>
      <c r="D30" s="103">
        <f t="shared" si="21"/>
        <v>98.543184183142571</v>
      </c>
      <c r="E30" s="104">
        <f>IF(('tuot-VKO'!$J$5&gt;0),('tuot-VKO'!D31+'tuot-VKO'!E31)/7/B30*100, )</f>
        <v>0</v>
      </c>
      <c r="F30" s="105">
        <f>IF(('tuot-VKO'!$J$5&gt;0),'tuot-VKO'!D31/7/B30*100, )</f>
        <v>0</v>
      </c>
      <c r="G30" s="103">
        <f t="shared" si="16"/>
        <v>96.1</v>
      </c>
      <c r="H30" s="102">
        <f t="shared" si="2"/>
        <v>0</v>
      </c>
      <c r="I30" s="103">
        <f t="shared" si="3"/>
        <v>98.504000000000005</v>
      </c>
      <c r="J30" s="104">
        <f>IF('tuot-VKO'!F31&gt;0,'tuot-VKO'!F31,J29)</f>
        <v>0</v>
      </c>
      <c r="K30" s="106">
        <f t="shared" si="17"/>
        <v>61.8</v>
      </c>
      <c r="L30" s="102">
        <f>IF(U30&lt;&gt;0,SUMPRODUCT(($J$10:J30)*($Y$10:Y30)/U30),0)</f>
        <v>0</v>
      </c>
      <c r="M30" s="103">
        <f>IF(V30&lt;&gt;0,SUMPRODUCT(($K$10:K30)*($Z$10:Z30)/V30),0)</f>
        <v>58.01447604039825</v>
      </c>
      <c r="N30" s="101">
        <f t="shared" si="4"/>
        <v>0</v>
      </c>
      <c r="O30" s="107">
        <f t="shared" si="0"/>
        <v>410</v>
      </c>
      <c r="P30" s="108">
        <f t="shared" si="22"/>
        <v>0</v>
      </c>
      <c r="Q30" s="109">
        <f t="shared" si="22"/>
        <v>5.6500000000000012</v>
      </c>
      <c r="R30" s="104">
        <f>IF(('tuot-VKO'!$J$5&gt;0),('tuot-VKO'!D31+'tuot-VKO'!E31)/7/$O$5*100,0)</f>
        <v>0</v>
      </c>
      <c r="S30" s="105">
        <f>IF(('tuot-VKO'!$J$5&gt;0),'tuot-VKO'!D31/7/$O$5*100,0)</f>
        <v>0</v>
      </c>
      <c r="T30" s="103">
        <f t="shared" si="18"/>
        <v>94.7</v>
      </c>
      <c r="U30" s="104">
        <f t="shared" si="5"/>
        <v>0</v>
      </c>
      <c r="V30" s="103">
        <f t="shared" si="6"/>
        <v>97.72699999999999</v>
      </c>
      <c r="W30" s="245">
        <f t="shared" si="19"/>
        <v>89.37299999999999</v>
      </c>
      <c r="X30" s="245">
        <f t="shared" si="20"/>
        <v>9.61</v>
      </c>
      <c r="Y30" s="243">
        <f t="shared" si="7"/>
        <v>0</v>
      </c>
      <c r="Z30" s="243">
        <f t="shared" si="8"/>
        <v>6.6290000000000049</v>
      </c>
      <c r="AA30" s="243">
        <f t="shared" si="9"/>
        <v>0</v>
      </c>
      <c r="AB30" s="243" t="str">
        <f t="shared" si="10"/>
        <v/>
      </c>
      <c r="AC30" s="243" t="str">
        <f t="shared" si="1"/>
        <v/>
      </c>
      <c r="AD30" s="243">
        <f t="shared" si="12"/>
        <v>0</v>
      </c>
      <c r="AE30" s="243">
        <f t="shared" si="13"/>
        <v>100</v>
      </c>
      <c r="AF30" s="243">
        <f t="shared" si="14"/>
        <v>0</v>
      </c>
      <c r="AG30" s="243">
        <f t="shared" si="15"/>
        <v>0</v>
      </c>
      <c r="AH30" s="241">
        <v>96.1</v>
      </c>
      <c r="AI30" s="241">
        <v>95.9</v>
      </c>
      <c r="AJ30" s="241">
        <v>96.3</v>
      </c>
      <c r="AK30" s="241">
        <v>96</v>
      </c>
      <c r="AL30" s="241">
        <v>61.8</v>
      </c>
      <c r="AM30" s="241">
        <v>61.4</v>
      </c>
      <c r="AN30" s="241">
        <v>60.7</v>
      </c>
      <c r="AO30" s="241">
        <v>60.1</v>
      </c>
      <c r="AP30" s="241">
        <v>94.7</v>
      </c>
      <c r="AQ30" s="241">
        <v>94.6</v>
      </c>
      <c r="AR30" s="241">
        <v>95.3</v>
      </c>
      <c r="AS30" s="241">
        <v>94.7</v>
      </c>
    </row>
    <row r="31" spans="1:45" x14ac:dyDescent="0.25">
      <c r="A31" s="81">
        <v>36</v>
      </c>
      <c r="B31" s="91">
        <f>IF(('tuot-VKO'!$J$5&gt;0),$O$5-SUM('tuot-VKO'!$C$11:'tuot-VKO'!C32), )</f>
        <v>9990</v>
      </c>
      <c r="C31" s="92">
        <f>IF(('tuot-VKO'!$J$5&gt;0),100-(SUM('tuot-VKO'!C$11:C32))/$O$5*100, )</f>
        <v>100</v>
      </c>
      <c r="D31" s="93">
        <f t="shared" si="21"/>
        <v>98.439125910509887</v>
      </c>
      <c r="E31" s="94">
        <f>IF(('tuot-VKO'!$J$5&gt;0),('tuot-VKO'!D32+'tuot-VKO'!E32)/7/B31*100, )</f>
        <v>0</v>
      </c>
      <c r="F31" s="95">
        <f>IF(('tuot-VKO'!$J$5&gt;0),'tuot-VKO'!D32/7/B31*100, )</f>
        <v>0</v>
      </c>
      <c r="G31" s="93">
        <f t="shared" si="16"/>
        <v>96.1</v>
      </c>
      <c r="H31" s="92">
        <f t="shared" si="2"/>
        <v>0</v>
      </c>
      <c r="I31" s="93">
        <f t="shared" si="3"/>
        <v>105.23100000000001</v>
      </c>
      <c r="J31" s="94">
        <f>IF('tuot-VKO'!F32&gt;0,'tuot-VKO'!F32,J30)</f>
        <v>0</v>
      </c>
      <c r="K31" s="96">
        <f t="shared" si="17"/>
        <v>62</v>
      </c>
      <c r="L31" s="92">
        <f>IF(U31&lt;&gt;0,SUMPRODUCT(($J$10:J31)*($Y$10:Y31)/U31),0)</f>
        <v>0</v>
      </c>
      <c r="M31" s="93">
        <f>IF(V31&lt;&gt;0,SUMPRODUCT(($K$10:K31)*($Z$10:Z31)/V31),0)</f>
        <v>58.267397866774004</v>
      </c>
      <c r="N31" s="91">
        <f t="shared" si="4"/>
        <v>0</v>
      </c>
      <c r="O31" s="97">
        <f t="shared" si="0"/>
        <v>410</v>
      </c>
      <c r="P31" s="98">
        <f t="shared" si="22"/>
        <v>0</v>
      </c>
      <c r="Q31" s="99">
        <f t="shared" si="22"/>
        <v>6.0600000000000014</v>
      </c>
      <c r="R31" s="94">
        <f>IF(('tuot-VKO'!$J$5&gt;0),('tuot-VKO'!D32+'tuot-VKO'!E32)/7/$O$5*100,0)</f>
        <v>0</v>
      </c>
      <c r="S31" s="95">
        <f>IF(('tuot-VKO'!$J$5&gt;0),'tuot-VKO'!D32/7/$O$5*100,0)</f>
        <v>0</v>
      </c>
      <c r="T31" s="93">
        <f t="shared" si="18"/>
        <v>94.6</v>
      </c>
      <c r="U31" s="94">
        <f t="shared" si="5"/>
        <v>0</v>
      </c>
      <c r="V31" s="93">
        <f t="shared" si="6"/>
        <v>104.34899999999999</v>
      </c>
      <c r="W31" s="245">
        <f t="shared" si="19"/>
        <v>89.37299999999999</v>
      </c>
      <c r="X31" s="245">
        <f t="shared" si="20"/>
        <v>9.61</v>
      </c>
      <c r="Y31" s="243">
        <f t="shared" si="7"/>
        <v>0</v>
      </c>
      <c r="Z31" s="243">
        <f t="shared" si="8"/>
        <v>6.6219999999999999</v>
      </c>
      <c r="AA31" s="243">
        <f t="shared" si="9"/>
        <v>0</v>
      </c>
      <c r="AB31" s="243" t="str">
        <f t="shared" si="10"/>
        <v/>
      </c>
      <c r="AC31" s="243" t="str">
        <f t="shared" si="1"/>
        <v/>
      </c>
      <c r="AD31" s="243">
        <f t="shared" si="12"/>
        <v>0</v>
      </c>
      <c r="AE31" s="243">
        <f t="shared" si="13"/>
        <v>100</v>
      </c>
      <c r="AF31" s="243">
        <f t="shared" si="14"/>
        <v>0</v>
      </c>
      <c r="AG31" s="243">
        <f t="shared" si="15"/>
        <v>0</v>
      </c>
      <c r="AH31" s="241">
        <v>96.1</v>
      </c>
      <c r="AI31" s="241">
        <v>96</v>
      </c>
      <c r="AJ31" s="241">
        <v>96.3</v>
      </c>
      <c r="AK31" s="241">
        <v>96.2</v>
      </c>
      <c r="AL31" s="241">
        <v>62</v>
      </c>
      <c r="AM31" s="241">
        <v>61.6</v>
      </c>
      <c r="AN31" s="241">
        <v>61</v>
      </c>
      <c r="AO31" s="241">
        <v>60.4</v>
      </c>
      <c r="AP31" s="241">
        <v>94.6</v>
      </c>
      <c r="AQ31" s="241">
        <v>94.6</v>
      </c>
      <c r="AR31" s="241">
        <v>95.2</v>
      </c>
      <c r="AS31" s="241">
        <v>94.7</v>
      </c>
    </row>
    <row r="32" spans="1:45" x14ac:dyDescent="0.25">
      <c r="A32" s="81">
        <v>37</v>
      </c>
      <c r="B32" s="91">
        <f>IF(('tuot-VKO'!$J$5&gt;0),$O$5-SUM('tuot-VKO'!$C$11:'tuot-VKO'!C33), )</f>
        <v>9990</v>
      </c>
      <c r="C32" s="92">
        <f>IF(('tuot-VKO'!$J$5&gt;0),100-(SUM('tuot-VKO'!C$11:C33))/$O$5*100, )</f>
        <v>100</v>
      </c>
      <c r="D32" s="93">
        <f t="shared" si="21"/>
        <v>98.333333333333343</v>
      </c>
      <c r="E32" s="94">
        <f>IF(('tuot-VKO'!$J$5&gt;0),('tuot-VKO'!D33+'tuot-VKO'!E33)/7/B32*100, )</f>
        <v>0</v>
      </c>
      <c r="F32" s="95">
        <f>IF(('tuot-VKO'!$J$5&gt;0),'tuot-VKO'!D33/7/B32*100, )</f>
        <v>0</v>
      </c>
      <c r="G32" s="93">
        <f t="shared" si="16"/>
        <v>96</v>
      </c>
      <c r="H32" s="92">
        <f t="shared" si="2"/>
        <v>0</v>
      </c>
      <c r="I32" s="93">
        <f t="shared" si="3"/>
        <v>111.95100000000001</v>
      </c>
      <c r="J32" s="94">
        <f>IF('tuot-VKO'!F33&gt;0,'tuot-VKO'!F33,J31)</f>
        <v>0</v>
      </c>
      <c r="K32" s="96">
        <f t="shared" si="17"/>
        <v>62.2</v>
      </c>
      <c r="L32" s="92">
        <f>IF(U32&lt;&gt;0,SUMPRODUCT(($J$10:J32)*($Y$10:Y32)/U32),0)</f>
        <v>0</v>
      </c>
      <c r="M32" s="93">
        <f>IF(V32&lt;&gt;0,SUMPRODUCT(($K$10:K32)*($Z$10:Z32)/V32),0)</f>
        <v>58.501602422560083</v>
      </c>
      <c r="N32" s="91">
        <f t="shared" si="4"/>
        <v>0</v>
      </c>
      <c r="O32" s="97">
        <f t="shared" si="0"/>
        <v>410</v>
      </c>
      <c r="P32" s="98">
        <f t="shared" si="22"/>
        <v>0</v>
      </c>
      <c r="Q32" s="99">
        <f t="shared" si="22"/>
        <v>6.4700000000000015</v>
      </c>
      <c r="R32" s="94">
        <f>IF(('tuot-VKO'!$J$5&gt;0),('tuot-VKO'!D33+'tuot-VKO'!E33)/7/$O$5*100,0)</f>
        <v>0</v>
      </c>
      <c r="S32" s="95">
        <f>IF(('tuot-VKO'!$J$5&gt;0),'tuot-VKO'!D33/7/$O$5*100,0)</f>
        <v>0</v>
      </c>
      <c r="T32" s="93">
        <f t="shared" si="18"/>
        <v>94.4</v>
      </c>
      <c r="U32" s="94">
        <f t="shared" si="5"/>
        <v>0</v>
      </c>
      <c r="V32" s="93">
        <f t="shared" si="6"/>
        <v>110.95699999999999</v>
      </c>
      <c r="W32" s="245">
        <f t="shared" si="19"/>
        <v>89.28</v>
      </c>
      <c r="X32" s="245">
        <f t="shared" si="20"/>
        <v>9.5999999999999943</v>
      </c>
      <c r="Y32" s="243">
        <f t="shared" si="7"/>
        <v>0</v>
      </c>
      <c r="Z32" s="243">
        <f t="shared" si="8"/>
        <v>6.6080000000000041</v>
      </c>
      <c r="AA32" s="243">
        <f t="shared" si="9"/>
        <v>0</v>
      </c>
      <c r="AB32" s="243" t="str">
        <f t="shared" si="10"/>
        <v/>
      </c>
      <c r="AC32" s="243" t="str">
        <f t="shared" si="1"/>
        <v/>
      </c>
      <c r="AD32" s="243">
        <f t="shared" si="12"/>
        <v>0</v>
      </c>
      <c r="AE32" s="243">
        <f t="shared" si="13"/>
        <v>100</v>
      </c>
      <c r="AF32" s="243">
        <f t="shared" si="14"/>
        <v>0</v>
      </c>
      <c r="AG32" s="243">
        <f t="shared" si="15"/>
        <v>0</v>
      </c>
      <c r="AH32" s="241">
        <v>96</v>
      </c>
      <c r="AI32" s="241">
        <v>96.2</v>
      </c>
      <c r="AJ32" s="241">
        <v>96.3</v>
      </c>
      <c r="AK32" s="241">
        <v>96.3</v>
      </c>
      <c r="AL32" s="241">
        <v>62.2</v>
      </c>
      <c r="AM32" s="241">
        <v>61.8</v>
      </c>
      <c r="AN32" s="241">
        <v>61.3</v>
      </c>
      <c r="AO32" s="241">
        <v>60.7</v>
      </c>
      <c r="AP32" s="241">
        <v>94.4</v>
      </c>
      <c r="AQ32" s="241">
        <v>94.5</v>
      </c>
      <c r="AR32" s="241">
        <v>95.1</v>
      </c>
      <c r="AS32" s="241">
        <v>94.7</v>
      </c>
    </row>
    <row r="33" spans="1:45" x14ac:dyDescent="0.25">
      <c r="A33" s="81">
        <v>38</v>
      </c>
      <c r="B33" s="91">
        <f>IF(('tuot-VKO'!$J$5&gt;0),$O$5-SUM('tuot-VKO'!$C$11:'tuot-VKO'!C34), )</f>
        <v>9990</v>
      </c>
      <c r="C33" s="92">
        <f>IF(('tuot-VKO'!$J$5&gt;0),100-(SUM('tuot-VKO'!C$11:C34))/$O$5*100, )</f>
        <v>100</v>
      </c>
      <c r="D33" s="93">
        <f t="shared" si="21"/>
        <v>98.227320125130348</v>
      </c>
      <c r="E33" s="94">
        <f>IF(('tuot-VKO'!$J$5&gt;0),('tuot-VKO'!D34+'tuot-VKO'!E34)/7/B33*100, )</f>
        <v>0</v>
      </c>
      <c r="F33" s="95">
        <f>IF(('tuot-VKO'!$J$5&gt;0),'tuot-VKO'!D34/7/B33*100, )</f>
        <v>0</v>
      </c>
      <c r="G33" s="93">
        <f t="shared" si="16"/>
        <v>95.9</v>
      </c>
      <c r="H33" s="92">
        <f t="shared" si="2"/>
        <v>0</v>
      </c>
      <c r="I33" s="93">
        <f t="shared" si="3"/>
        <v>118.66400000000002</v>
      </c>
      <c r="J33" s="94">
        <f>IF('tuot-VKO'!F34&gt;0,'tuot-VKO'!F34,J32)</f>
        <v>0</v>
      </c>
      <c r="K33" s="96">
        <f t="shared" si="17"/>
        <v>62.4</v>
      </c>
      <c r="L33" s="92">
        <f>IF(U33&lt;&gt;0,SUMPRODUCT(($J$10:J33)*($Y$10:Y33)/U33),0)</f>
        <v>0</v>
      </c>
      <c r="M33" s="93">
        <f>IF(V33&lt;&gt;0,SUMPRODUCT(($K$10:K33)*($Z$10:Z33)/V33),0)</f>
        <v>58.720282260465666</v>
      </c>
      <c r="N33" s="91">
        <f t="shared" si="4"/>
        <v>0</v>
      </c>
      <c r="O33" s="97">
        <f t="shared" si="0"/>
        <v>410</v>
      </c>
      <c r="P33" s="98">
        <f t="shared" si="22"/>
        <v>0</v>
      </c>
      <c r="Q33" s="99">
        <f t="shared" si="22"/>
        <v>6.8800000000000017</v>
      </c>
      <c r="R33" s="94">
        <f>IF(('tuot-VKO'!$J$5&gt;0),('tuot-VKO'!D34+'tuot-VKO'!E34)/7/$O$5*100,0)</f>
        <v>0</v>
      </c>
      <c r="S33" s="95">
        <f>IF(('tuot-VKO'!$J$5&gt;0),'tuot-VKO'!D34/7/$O$5*100,0)</f>
        <v>0</v>
      </c>
      <c r="T33" s="93">
        <f t="shared" si="18"/>
        <v>94.2</v>
      </c>
      <c r="U33" s="94">
        <f t="shared" si="5"/>
        <v>0</v>
      </c>
      <c r="V33" s="93">
        <f t="shared" si="6"/>
        <v>117.55099999999999</v>
      </c>
      <c r="W33" s="245">
        <f t="shared" si="19"/>
        <v>89.187000000000012</v>
      </c>
      <c r="X33" s="245">
        <f t="shared" si="20"/>
        <v>9.5899999999999892</v>
      </c>
      <c r="Y33" s="243">
        <f t="shared" si="7"/>
        <v>0</v>
      </c>
      <c r="Z33" s="243">
        <f t="shared" si="8"/>
        <v>6.5939999999999941</v>
      </c>
      <c r="AA33" s="243">
        <f t="shared" si="9"/>
        <v>0</v>
      </c>
      <c r="AB33" s="243" t="str">
        <f t="shared" si="10"/>
        <v/>
      </c>
      <c r="AC33" s="243" t="str">
        <f t="shared" si="1"/>
        <v/>
      </c>
      <c r="AD33" s="243">
        <f t="shared" si="12"/>
        <v>0</v>
      </c>
      <c r="AE33" s="243">
        <f t="shared" si="13"/>
        <v>100</v>
      </c>
      <c r="AF33" s="243">
        <f t="shared" si="14"/>
        <v>0</v>
      </c>
      <c r="AG33" s="243">
        <f t="shared" si="15"/>
        <v>0</v>
      </c>
      <c r="AH33" s="241">
        <v>95.9</v>
      </c>
      <c r="AI33" s="241">
        <v>96.2</v>
      </c>
      <c r="AJ33" s="241">
        <v>96.3</v>
      </c>
      <c r="AK33" s="241">
        <v>96.5</v>
      </c>
      <c r="AL33" s="241">
        <v>62.4</v>
      </c>
      <c r="AM33" s="241">
        <v>62</v>
      </c>
      <c r="AN33" s="241">
        <v>61.4</v>
      </c>
      <c r="AO33" s="241">
        <v>61</v>
      </c>
      <c r="AP33" s="241">
        <v>94.2</v>
      </c>
      <c r="AQ33" s="241">
        <v>94.4</v>
      </c>
      <c r="AR33" s="241">
        <v>94.9</v>
      </c>
      <c r="AS33" s="241">
        <v>94.7</v>
      </c>
    </row>
    <row r="34" spans="1:45" x14ac:dyDescent="0.25">
      <c r="A34" s="81">
        <v>39</v>
      </c>
      <c r="B34" s="91">
        <f>IF(('tuot-VKO'!$J$5&gt;0),$O$5-SUM('tuot-VKO'!$C$11:'tuot-VKO'!C35), )</f>
        <v>9990</v>
      </c>
      <c r="C34" s="92">
        <f>IF(('tuot-VKO'!$J$5&gt;0),100-(SUM('tuot-VKO'!C$11:C35))/$O$5*100, )</f>
        <v>100</v>
      </c>
      <c r="D34" s="93">
        <f t="shared" si="21"/>
        <v>98.121085594989566</v>
      </c>
      <c r="E34" s="94">
        <f>IF(('tuot-VKO'!$J$5&gt;0),('tuot-VKO'!D35+'tuot-VKO'!E35)/7/B34*100, )</f>
        <v>0</v>
      </c>
      <c r="F34" s="95">
        <f>IF(('tuot-VKO'!$J$5&gt;0),'tuot-VKO'!D35/7/B34*100, )</f>
        <v>0</v>
      </c>
      <c r="G34" s="93">
        <f t="shared" si="16"/>
        <v>95.8</v>
      </c>
      <c r="H34" s="92">
        <f t="shared" si="2"/>
        <v>0</v>
      </c>
      <c r="I34" s="93">
        <f t="shared" si="3"/>
        <v>125.37000000000002</v>
      </c>
      <c r="J34" s="94">
        <f>IF('tuot-VKO'!F35&gt;0,'tuot-VKO'!F35,J33)</f>
        <v>0</v>
      </c>
      <c r="K34" s="96">
        <f t="shared" si="17"/>
        <v>62.6</v>
      </c>
      <c r="L34" s="92">
        <f>IF(U34&lt;&gt;0,SUMPRODUCT(($J$10:J34)*($Y$10:Y34)/U34),0)</f>
        <v>0</v>
      </c>
      <c r="M34" s="93">
        <f>IF(V34&lt;&gt;0,SUMPRODUCT(($K$10:K34)*($Z$10:Z34)/V34),0)</f>
        <v>58.925940337224382</v>
      </c>
      <c r="N34" s="91">
        <f t="shared" si="4"/>
        <v>0</v>
      </c>
      <c r="O34" s="97">
        <f t="shared" si="0"/>
        <v>410</v>
      </c>
      <c r="P34" s="98">
        <f t="shared" si="22"/>
        <v>0</v>
      </c>
      <c r="Q34" s="99">
        <f t="shared" si="22"/>
        <v>7.2900000000000018</v>
      </c>
      <c r="R34" s="94">
        <f>IF(('tuot-VKO'!$J$5&gt;0),('tuot-VKO'!D35+'tuot-VKO'!E35)/7/$O$5*100,0)</f>
        <v>0</v>
      </c>
      <c r="S34" s="95">
        <f>IF(('tuot-VKO'!$J$5&gt;0),'tuot-VKO'!D35/7/$O$5*100,0)</f>
        <v>0</v>
      </c>
      <c r="T34" s="93">
        <f t="shared" si="18"/>
        <v>94</v>
      </c>
      <c r="U34" s="94">
        <f t="shared" si="5"/>
        <v>0</v>
      </c>
      <c r="V34" s="93">
        <f t="shared" si="6"/>
        <v>124.13099999999999</v>
      </c>
      <c r="W34" s="245">
        <f t="shared" si="19"/>
        <v>89.093999999999994</v>
      </c>
      <c r="X34" s="245">
        <f t="shared" si="20"/>
        <v>9.5799999999999983</v>
      </c>
      <c r="Y34" s="243">
        <f t="shared" si="7"/>
        <v>0</v>
      </c>
      <c r="Z34" s="243">
        <f t="shared" si="8"/>
        <v>6.5799999999999983</v>
      </c>
      <c r="AA34" s="243">
        <f t="shared" si="9"/>
        <v>0</v>
      </c>
      <c r="AB34" s="243" t="str">
        <f t="shared" si="10"/>
        <v/>
      </c>
      <c r="AC34" s="243" t="str">
        <f t="shared" si="1"/>
        <v/>
      </c>
      <c r="AD34" s="243">
        <f t="shared" si="12"/>
        <v>0</v>
      </c>
      <c r="AE34" s="243">
        <f t="shared" si="13"/>
        <v>100</v>
      </c>
      <c r="AF34" s="243">
        <f t="shared" si="14"/>
        <v>0</v>
      </c>
      <c r="AG34" s="243">
        <f t="shared" si="15"/>
        <v>0</v>
      </c>
      <c r="AH34" s="241">
        <v>95.8</v>
      </c>
      <c r="AI34" s="241">
        <v>96.3</v>
      </c>
      <c r="AJ34" s="241">
        <v>96.2</v>
      </c>
      <c r="AK34" s="241">
        <v>96.6</v>
      </c>
      <c r="AL34" s="241">
        <v>62.6</v>
      </c>
      <c r="AM34" s="241">
        <v>62.2</v>
      </c>
      <c r="AN34" s="241">
        <v>61.6</v>
      </c>
      <c r="AO34" s="241">
        <v>61.1</v>
      </c>
      <c r="AP34" s="241">
        <v>94</v>
      </c>
      <c r="AQ34" s="241">
        <v>94.3</v>
      </c>
      <c r="AR34" s="241">
        <v>94.8</v>
      </c>
      <c r="AS34" s="241">
        <v>94.7</v>
      </c>
    </row>
    <row r="35" spans="1:45" x14ac:dyDescent="0.25">
      <c r="A35" s="100">
        <v>40</v>
      </c>
      <c r="B35" s="101">
        <f>IF(('tuot-VKO'!$J$5&gt;0),$O$5-SUM('tuot-VKO'!$C$11:'tuot-VKO'!C36), )</f>
        <v>9990</v>
      </c>
      <c r="C35" s="102">
        <f>IF(('tuot-VKO'!$J$5&gt;0),100-(SUM('tuot-VKO'!C$11:C36))/$O$5*100, )</f>
        <v>100</v>
      </c>
      <c r="D35" s="103">
        <f t="shared" si="21"/>
        <v>98.012552301255241</v>
      </c>
      <c r="E35" s="104">
        <f>IF(('tuot-VKO'!$J$5&gt;0),('tuot-VKO'!D36+'tuot-VKO'!E36)/7/B35*100, )</f>
        <v>0</v>
      </c>
      <c r="F35" s="105">
        <f>IF(('tuot-VKO'!$J$5&gt;0),'tuot-VKO'!D36/7/B35*100, )</f>
        <v>0</v>
      </c>
      <c r="G35" s="103">
        <f t="shared" si="16"/>
        <v>95.6</v>
      </c>
      <c r="H35" s="102">
        <f t="shared" si="2"/>
        <v>0</v>
      </c>
      <c r="I35" s="103">
        <f t="shared" si="3"/>
        <v>132.06200000000001</v>
      </c>
      <c r="J35" s="104">
        <f>IF('tuot-VKO'!F36&gt;0,'tuot-VKO'!F36,J34)</f>
        <v>0</v>
      </c>
      <c r="K35" s="106">
        <f t="shared" si="17"/>
        <v>62.8</v>
      </c>
      <c r="L35" s="102">
        <f>IF(U35&lt;&gt;0,SUMPRODUCT(($J$10:J35)*($Y$10:Y35)/U35),0)</f>
        <v>0</v>
      </c>
      <c r="M35" s="103">
        <f>IF(V35&lt;&gt;0,SUMPRODUCT(($K$10:K35)*($Z$10:Z35)/V35),0)</f>
        <v>59.120369576861272</v>
      </c>
      <c r="N35" s="101">
        <f t="shared" si="4"/>
        <v>0</v>
      </c>
      <c r="O35" s="107">
        <f t="shared" si="0"/>
        <v>410</v>
      </c>
      <c r="P35" s="108">
        <f t="shared" si="22"/>
        <v>0</v>
      </c>
      <c r="Q35" s="109">
        <f t="shared" si="22"/>
        <v>7.700000000000002</v>
      </c>
      <c r="R35" s="104">
        <f>IF(('tuot-VKO'!$J$5&gt;0),('tuot-VKO'!D36+'tuot-VKO'!E36)/7/$O$5*100,0)</f>
        <v>0</v>
      </c>
      <c r="S35" s="105">
        <f>IF(('tuot-VKO'!$J$5&gt;0),'tuot-VKO'!D36/7/$O$5*100,0)</f>
        <v>0</v>
      </c>
      <c r="T35" s="103">
        <f t="shared" si="18"/>
        <v>93.7</v>
      </c>
      <c r="U35" s="104">
        <f t="shared" si="5"/>
        <v>0</v>
      </c>
      <c r="V35" s="103">
        <f t="shared" si="6"/>
        <v>130.69</v>
      </c>
      <c r="W35" s="245">
        <f t="shared" si="19"/>
        <v>88.907999999999987</v>
      </c>
      <c r="X35" s="245">
        <f t="shared" si="20"/>
        <v>9.5600000000000023</v>
      </c>
      <c r="Y35" s="243">
        <f t="shared" si="7"/>
        <v>0</v>
      </c>
      <c r="Z35" s="243">
        <f t="shared" si="8"/>
        <v>6.5590000000000117</v>
      </c>
      <c r="AA35" s="243">
        <f t="shared" si="9"/>
        <v>0</v>
      </c>
      <c r="AB35" s="243" t="str">
        <f t="shared" si="10"/>
        <v/>
      </c>
      <c r="AC35" s="243" t="str">
        <f t="shared" si="1"/>
        <v/>
      </c>
      <c r="AD35" s="243">
        <f t="shared" si="12"/>
        <v>0</v>
      </c>
      <c r="AE35" s="243">
        <f t="shared" si="13"/>
        <v>100</v>
      </c>
      <c r="AF35" s="243">
        <f t="shared" si="14"/>
        <v>0</v>
      </c>
      <c r="AG35" s="243">
        <f t="shared" si="15"/>
        <v>0</v>
      </c>
      <c r="AH35" s="241">
        <v>95.6</v>
      </c>
      <c r="AI35" s="241">
        <v>96.1</v>
      </c>
      <c r="AJ35" s="241">
        <v>96.1</v>
      </c>
      <c r="AK35" s="241">
        <v>96.7</v>
      </c>
      <c r="AL35" s="241">
        <v>62.8</v>
      </c>
      <c r="AM35" s="241">
        <v>62.4</v>
      </c>
      <c r="AN35" s="241">
        <v>61.8</v>
      </c>
      <c r="AO35" s="241">
        <v>61.3</v>
      </c>
      <c r="AP35" s="241">
        <v>93.7</v>
      </c>
      <c r="AQ35" s="241">
        <v>94.1</v>
      </c>
      <c r="AR35" s="241">
        <v>94.6</v>
      </c>
      <c r="AS35" s="241">
        <v>94.6</v>
      </c>
    </row>
    <row r="36" spans="1:45" x14ac:dyDescent="0.25">
      <c r="A36" s="81">
        <v>41</v>
      </c>
      <c r="B36" s="91">
        <f>IF(('tuot-VKO'!$J$5&gt;0),$O$5-SUM('tuot-VKO'!$C$11:'tuot-VKO'!C37), )</f>
        <v>9990</v>
      </c>
      <c r="C36" s="92">
        <f>IF(('tuot-VKO'!$J$5&gt;0),100-(SUM('tuot-VKO'!C$11:C37))/$O$5*100, )</f>
        <v>100</v>
      </c>
      <c r="D36" s="93">
        <f t="shared" si="21"/>
        <v>97.905759162303667</v>
      </c>
      <c r="E36" s="94">
        <f>IF(('tuot-VKO'!$J$5&gt;0),('tuot-VKO'!D37+'tuot-VKO'!E37)/7/B36*100, )</f>
        <v>0</v>
      </c>
      <c r="F36" s="95">
        <f>IF(('tuot-VKO'!$J$5&gt;0),'tuot-VKO'!D37/7/B36*100, )</f>
        <v>0</v>
      </c>
      <c r="G36" s="93">
        <f t="shared" si="16"/>
        <v>95.5</v>
      </c>
      <c r="H36" s="92">
        <f t="shared" si="2"/>
        <v>0</v>
      </c>
      <c r="I36" s="93">
        <f t="shared" si="3"/>
        <v>138.74700000000001</v>
      </c>
      <c r="J36" s="94">
        <f>IF('tuot-VKO'!F37&gt;0,'tuot-VKO'!F37,J35)</f>
        <v>0</v>
      </c>
      <c r="K36" s="96">
        <f t="shared" si="17"/>
        <v>63</v>
      </c>
      <c r="L36" s="92">
        <f>IF(U36&lt;&gt;0,SUMPRODUCT(($J$10:J36)*($Y$10:Y36)/U36),0)</f>
        <v>0</v>
      </c>
      <c r="M36" s="93">
        <f>IF(V36&lt;&gt;0,SUMPRODUCT(($K$10:K36)*($Z$10:Z36)/V36),0)</f>
        <v>59.305396582504464</v>
      </c>
      <c r="N36" s="91">
        <f t="shared" si="4"/>
        <v>0</v>
      </c>
      <c r="O36" s="97">
        <f t="shared" si="0"/>
        <v>410</v>
      </c>
      <c r="P36" s="98">
        <f t="shared" si="22"/>
        <v>0</v>
      </c>
      <c r="Q36" s="99">
        <f t="shared" si="22"/>
        <v>8.1100000000000012</v>
      </c>
      <c r="R36" s="94">
        <f>IF(('tuot-VKO'!$J$5&gt;0),('tuot-VKO'!D37+'tuot-VKO'!E37)/7/$O$5*100,0)</f>
        <v>0</v>
      </c>
      <c r="S36" s="95">
        <f>IF(('tuot-VKO'!$J$5&gt;0),'tuot-VKO'!D37/7/$O$5*100,0)</f>
        <v>0</v>
      </c>
      <c r="T36" s="93">
        <f t="shared" si="18"/>
        <v>93.5</v>
      </c>
      <c r="U36" s="94">
        <f t="shared" si="5"/>
        <v>0</v>
      </c>
      <c r="V36" s="93">
        <f t="shared" si="6"/>
        <v>137.23499999999999</v>
      </c>
      <c r="W36" s="245">
        <f t="shared" si="19"/>
        <v>88.814999999999998</v>
      </c>
      <c r="X36" s="245">
        <f t="shared" si="20"/>
        <v>9.5499999999999972</v>
      </c>
      <c r="Y36" s="243">
        <f t="shared" si="7"/>
        <v>0</v>
      </c>
      <c r="Z36" s="243">
        <f t="shared" si="8"/>
        <v>6.5449999999999875</v>
      </c>
      <c r="AA36" s="243">
        <f t="shared" si="9"/>
        <v>0</v>
      </c>
      <c r="AB36" s="243" t="str">
        <f t="shared" si="10"/>
        <v/>
      </c>
      <c r="AC36" s="243" t="str">
        <f t="shared" si="1"/>
        <v/>
      </c>
      <c r="AD36" s="243">
        <f t="shared" si="12"/>
        <v>0</v>
      </c>
      <c r="AE36" s="243">
        <f t="shared" si="13"/>
        <v>100</v>
      </c>
      <c r="AF36" s="243">
        <f t="shared" si="14"/>
        <v>0</v>
      </c>
      <c r="AG36" s="243">
        <f t="shared" si="15"/>
        <v>0</v>
      </c>
      <c r="AH36" s="241">
        <v>95.5</v>
      </c>
      <c r="AI36" s="241">
        <v>96.1</v>
      </c>
      <c r="AJ36" s="241">
        <v>96</v>
      </c>
      <c r="AK36" s="241">
        <v>96.7</v>
      </c>
      <c r="AL36" s="241">
        <v>63</v>
      </c>
      <c r="AM36" s="241">
        <v>62.6</v>
      </c>
      <c r="AN36" s="241">
        <v>61.9</v>
      </c>
      <c r="AO36" s="241">
        <v>61.5</v>
      </c>
      <c r="AP36" s="241">
        <v>93.5</v>
      </c>
      <c r="AQ36" s="241">
        <v>93.9</v>
      </c>
      <c r="AR36" s="241">
        <v>94.4</v>
      </c>
      <c r="AS36" s="241">
        <v>94.5</v>
      </c>
    </row>
    <row r="37" spans="1:45" x14ac:dyDescent="0.25">
      <c r="A37" s="81">
        <v>42</v>
      </c>
      <c r="B37" s="91">
        <f>IF(('tuot-VKO'!$J$5&gt;0),$O$5-SUM('tuot-VKO'!$C$11:'tuot-VKO'!C38), )</f>
        <v>9990</v>
      </c>
      <c r="C37" s="92">
        <f>IF(('tuot-VKO'!$J$5&gt;0),100-(SUM('tuot-VKO'!C$11:C38))/$O$5*100, )</f>
        <v>100</v>
      </c>
      <c r="D37" s="93">
        <f t="shared" si="21"/>
        <v>97.899159663865547</v>
      </c>
      <c r="E37" s="94">
        <f>IF(('tuot-VKO'!$J$5&gt;0),('tuot-VKO'!D38+'tuot-VKO'!E38)/7/B37*100, )</f>
        <v>0</v>
      </c>
      <c r="F37" s="95">
        <f>IF(('tuot-VKO'!$J$5&gt;0),'tuot-VKO'!D38/7/B37*100, )</f>
        <v>0</v>
      </c>
      <c r="G37" s="93">
        <f t="shared" si="16"/>
        <v>95.2</v>
      </c>
      <c r="H37" s="92">
        <f t="shared" si="2"/>
        <v>0</v>
      </c>
      <c r="I37" s="93">
        <f t="shared" si="3"/>
        <v>145.411</v>
      </c>
      <c r="J37" s="94">
        <f>IF('tuot-VKO'!F38&gt;0,'tuot-VKO'!F38,J36)</f>
        <v>0</v>
      </c>
      <c r="K37" s="96">
        <f t="shared" si="17"/>
        <v>63.2</v>
      </c>
      <c r="L37" s="92">
        <f>IF(U37&lt;&gt;0,SUMPRODUCT(($J$10:J37)*($Y$10:Y37)/U37),0)</f>
        <v>0</v>
      </c>
      <c r="M37" s="93">
        <f>IF(V37&lt;&gt;0,SUMPRODUCT(($K$10:K37)*($Z$10:Z37)/V37),0)</f>
        <v>59.482139553001893</v>
      </c>
      <c r="N37" s="91">
        <f t="shared" si="4"/>
        <v>0</v>
      </c>
      <c r="O37" s="97">
        <f t="shared" si="0"/>
        <v>410</v>
      </c>
      <c r="P37" s="98">
        <f t="shared" si="22"/>
        <v>0</v>
      </c>
      <c r="Q37" s="99">
        <f t="shared" si="22"/>
        <v>8.5200000000000014</v>
      </c>
      <c r="R37" s="94">
        <f>IF(('tuot-VKO'!$J$5&gt;0),('tuot-VKO'!D38+'tuot-VKO'!E38)/7/$O$5*100,0)</f>
        <v>0</v>
      </c>
      <c r="S37" s="95">
        <f>IF(('tuot-VKO'!$J$5&gt;0),'tuot-VKO'!D38/7/$O$5*100,0)</f>
        <v>0</v>
      </c>
      <c r="T37" s="93">
        <f t="shared" si="18"/>
        <v>93.2</v>
      </c>
      <c r="U37" s="94">
        <f t="shared" si="5"/>
        <v>0</v>
      </c>
      <c r="V37" s="93">
        <f t="shared" si="6"/>
        <v>143.75899999999999</v>
      </c>
      <c r="W37" s="245">
        <f t="shared" si="19"/>
        <v>88.536000000000001</v>
      </c>
      <c r="X37" s="245">
        <f t="shared" si="20"/>
        <v>9.519999999999996</v>
      </c>
      <c r="Y37" s="243">
        <f t="shared" si="7"/>
        <v>0</v>
      </c>
      <c r="Z37" s="243">
        <f t="shared" si="8"/>
        <v>6.5240000000000009</v>
      </c>
      <c r="AA37" s="243">
        <f t="shared" si="9"/>
        <v>0</v>
      </c>
      <c r="AB37" s="243" t="str">
        <f t="shared" si="10"/>
        <v/>
      </c>
      <c r="AC37" s="243" t="str">
        <f t="shared" si="1"/>
        <v/>
      </c>
      <c r="AD37" s="243">
        <f t="shared" si="12"/>
        <v>0</v>
      </c>
      <c r="AE37" s="243">
        <f t="shared" si="13"/>
        <v>100</v>
      </c>
      <c r="AF37" s="243">
        <f t="shared" si="14"/>
        <v>0</v>
      </c>
      <c r="AG37" s="243">
        <f t="shared" si="15"/>
        <v>0</v>
      </c>
      <c r="AH37" s="241">
        <v>95.2</v>
      </c>
      <c r="AI37" s="241">
        <v>96</v>
      </c>
      <c r="AJ37" s="241">
        <v>95.9</v>
      </c>
      <c r="AK37" s="241">
        <v>96.8</v>
      </c>
      <c r="AL37" s="241">
        <v>63.2</v>
      </c>
      <c r="AM37" s="241">
        <v>62.8</v>
      </c>
      <c r="AN37" s="241">
        <v>62</v>
      </c>
      <c r="AO37" s="241">
        <v>61.6</v>
      </c>
      <c r="AP37" s="241">
        <v>93.2</v>
      </c>
      <c r="AQ37" s="241">
        <v>93.7</v>
      </c>
      <c r="AR37" s="241">
        <v>94.2</v>
      </c>
      <c r="AS37" s="241">
        <v>94.4</v>
      </c>
    </row>
    <row r="38" spans="1:45" x14ac:dyDescent="0.25">
      <c r="A38" s="81">
        <v>43</v>
      </c>
      <c r="B38" s="91">
        <f>IF(('tuot-VKO'!$J$5&gt;0),$O$5-SUM('tuot-VKO'!$C$11:'tuot-VKO'!C39), )</f>
        <v>9990</v>
      </c>
      <c r="C38" s="92">
        <f>IF(('tuot-VKO'!$J$5&gt;0),100-(SUM('tuot-VKO'!C$11:C39))/$O$5*100, )</f>
        <v>100</v>
      </c>
      <c r="D38" s="93">
        <f t="shared" si="21"/>
        <v>97.789473684210535</v>
      </c>
      <c r="E38" s="94">
        <f>IF(('tuot-VKO'!$J$5&gt;0),('tuot-VKO'!D39+'tuot-VKO'!E39)/7/B38*100, )</f>
        <v>0</v>
      </c>
      <c r="F38" s="95">
        <f>IF(('tuot-VKO'!$J$5&gt;0),'tuot-VKO'!D39/7/B38*100, )</f>
        <v>0</v>
      </c>
      <c r="G38" s="93">
        <f t="shared" si="16"/>
        <v>95</v>
      </c>
      <c r="H38" s="92">
        <f t="shared" si="2"/>
        <v>0</v>
      </c>
      <c r="I38" s="93">
        <f t="shared" si="3"/>
        <v>152.06100000000001</v>
      </c>
      <c r="J38" s="94">
        <f>IF('tuot-VKO'!F39&gt;0,'tuot-VKO'!F39,J37)</f>
        <v>0</v>
      </c>
      <c r="K38" s="96">
        <f t="shared" si="17"/>
        <v>63.4</v>
      </c>
      <c r="L38" s="92">
        <f>IF(U38&lt;&gt;0,SUMPRODUCT(($J$10:J38)*($Y$10:Y38)/U38),0)</f>
        <v>0</v>
      </c>
      <c r="M38" s="93">
        <f>IF(V38&lt;&gt;0,SUMPRODUCT(($K$10:K38)*($Z$10:Z38)/V38),0)</f>
        <v>59.651695704835568</v>
      </c>
      <c r="N38" s="91">
        <f t="shared" si="4"/>
        <v>0</v>
      </c>
      <c r="O38" s="97">
        <f t="shared" si="0"/>
        <v>410</v>
      </c>
      <c r="P38" s="98">
        <f t="shared" si="22"/>
        <v>0</v>
      </c>
      <c r="Q38" s="99">
        <f t="shared" si="22"/>
        <v>8.9300000000000015</v>
      </c>
      <c r="R38" s="94">
        <f>IF(('tuot-VKO'!$J$5&gt;0),('tuot-VKO'!D39+'tuot-VKO'!E39)/7/$O$5*100,0)</f>
        <v>0</v>
      </c>
      <c r="S38" s="95">
        <f>IF(('tuot-VKO'!$J$5&gt;0),'tuot-VKO'!D39/7/$O$5*100,0)</f>
        <v>0</v>
      </c>
      <c r="T38" s="93">
        <f t="shared" si="18"/>
        <v>92.9</v>
      </c>
      <c r="U38" s="94">
        <f t="shared" si="5"/>
        <v>0</v>
      </c>
      <c r="V38" s="93">
        <f t="shared" si="6"/>
        <v>150.262</v>
      </c>
      <c r="W38" s="245">
        <f t="shared" si="19"/>
        <v>88.35</v>
      </c>
      <c r="X38" s="245">
        <f t="shared" si="20"/>
        <v>9.5</v>
      </c>
      <c r="Y38" s="243">
        <f t="shared" si="7"/>
        <v>0</v>
      </c>
      <c r="Z38" s="243">
        <f t="shared" si="8"/>
        <v>6.5030000000000143</v>
      </c>
      <c r="AA38" s="243">
        <f t="shared" si="9"/>
        <v>0</v>
      </c>
      <c r="AB38" s="243" t="str">
        <f t="shared" si="10"/>
        <v/>
      </c>
      <c r="AC38" s="243" t="str">
        <f t="shared" si="1"/>
        <v/>
      </c>
      <c r="AD38" s="243">
        <f t="shared" si="12"/>
        <v>0</v>
      </c>
      <c r="AE38" s="243">
        <f t="shared" si="13"/>
        <v>100</v>
      </c>
      <c r="AF38" s="243">
        <f t="shared" si="14"/>
        <v>0</v>
      </c>
      <c r="AG38" s="243">
        <f t="shared" si="15"/>
        <v>0</v>
      </c>
      <c r="AH38" s="241">
        <v>95</v>
      </c>
      <c r="AI38" s="241">
        <v>96</v>
      </c>
      <c r="AJ38" s="241">
        <v>95.8</v>
      </c>
      <c r="AK38" s="241">
        <v>96.8</v>
      </c>
      <c r="AL38" s="241">
        <v>63.4</v>
      </c>
      <c r="AM38" s="241">
        <v>62.9</v>
      </c>
      <c r="AN38" s="241">
        <v>62.1</v>
      </c>
      <c r="AO38" s="241">
        <v>61.7</v>
      </c>
      <c r="AP38" s="241">
        <v>92.9</v>
      </c>
      <c r="AQ38" s="241">
        <v>93.5</v>
      </c>
      <c r="AR38" s="241">
        <v>94</v>
      </c>
      <c r="AS38" s="241">
        <v>94.3</v>
      </c>
    </row>
    <row r="39" spans="1:45" x14ac:dyDescent="0.25">
      <c r="A39" s="81">
        <v>44</v>
      </c>
      <c r="B39" s="91">
        <f>IF(('tuot-VKO'!$J$5&gt;0),$O$5-SUM('tuot-VKO'!$C$11:'tuot-VKO'!C40), )</f>
        <v>9990</v>
      </c>
      <c r="C39" s="92">
        <f>IF(('tuot-VKO'!$J$5&gt;0),100-(SUM('tuot-VKO'!C$11:C40))/$O$5*100, )</f>
        <v>100</v>
      </c>
      <c r="D39" s="93">
        <f t="shared" si="21"/>
        <v>97.679324894514764</v>
      </c>
      <c r="E39" s="94">
        <f>IF(('tuot-VKO'!$J$5&gt;0),('tuot-VKO'!D40+'tuot-VKO'!E40)/7/B39*100, )</f>
        <v>0</v>
      </c>
      <c r="F39" s="95">
        <f>IF(('tuot-VKO'!$J$5&gt;0),'tuot-VKO'!D40/7/B39*100, )</f>
        <v>0</v>
      </c>
      <c r="G39" s="93">
        <f t="shared" si="16"/>
        <v>94.8</v>
      </c>
      <c r="H39" s="92">
        <f t="shared" si="2"/>
        <v>0</v>
      </c>
      <c r="I39" s="93">
        <f t="shared" si="3"/>
        <v>158.697</v>
      </c>
      <c r="J39" s="94">
        <f>IF('tuot-VKO'!F40&gt;0,'tuot-VKO'!F40,J38)</f>
        <v>0</v>
      </c>
      <c r="K39" s="96">
        <f t="shared" si="17"/>
        <v>63.6</v>
      </c>
      <c r="L39" s="92">
        <f>IF(U39&lt;&gt;0,SUMPRODUCT(($J$10:J39)*($Y$10:Y39)/U39),0)</f>
        <v>0</v>
      </c>
      <c r="M39" s="93">
        <f>IF(V39&lt;&gt;0,SUMPRODUCT(($K$10:K39)*($Z$10:Z39)/V39),0)</f>
        <v>59.814974097892105</v>
      </c>
      <c r="N39" s="91">
        <f t="shared" si="4"/>
        <v>0</v>
      </c>
      <c r="O39" s="97">
        <f t="shared" si="0"/>
        <v>410</v>
      </c>
      <c r="P39" s="98">
        <f t="shared" si="22"/>
        <v>0</v>
      </c>
      <c r="Q39" s="99">
        <f t="shared" si="22"/>
        <v>9.3400000000000016</v>
      </c>
      <c r="R39" s="94">
        <f>IF(('tuot-VKO'!$J$5&gt;0),('tuot-VKO'!D40+'tuot-VKO'!E40)/7/$O$5*100,0)</f>
        <v>0</v>
      </c>
      <c r="S39" s="95">
        <f>IF(('tuot-VKO'!$J$5&gt;0),'tuot-VKO'!D40/7/$O$5*100,0)</f>
        <v>0</v>
      </c>
      <c r="T39" s="93">
        <f t="shared" si="18"/>
        <v>92.6</v>
      </c>
      <c r="U39" s="94">
        <f t="shared" si="5"/>
        <v>0</v>
      </c>
      <c r="V39" s="93">
        <f t="shared" si="6"/>
        <v>156.744</v>
      </c>
      <c r="W39" s="245">
        <f t="shared" si="19"/>
        <v>88.164000000000001</v>
      </c>
      <c r="X39" s="245">
        <f t="shared" si="20"/>
        <v>9.4799999999999898</v>
      </c>
      <c r="Y39" s="243">
        <f t="shared" si="7"/>
        <v>0</v>
      </c>
      <c r="Z39" s="243">
        <f t="shared" si="8"/>
        <v>6.4819999999999993</v>
      </c>
      <c r="AA39" s="243">
        <f t="shared" si="9"/>
        <v>0</v>
      </c>
      <c r="AB39" s="243" t="str">
        <f t="shared" si="10"/>
        <v/>
      </c>
      <c r="AC39" s="243" t="str">
        <f t="shared" si="1"/>
        <v/>
      </c>
      <c r="AD39" s="243">
        <f t="shared" si="12"/>
        <v>0</v>
      </c>
      <c r="AE39" s="243">
        <f t="shared" si="13"/>
        <v>100</v>
      </c>
      <c r="AF39" s="243">
        <f t="shared" si="14"/>
        <v>0</v>
      </c>
      <c r="AG39" s="243">
        <f t="shared" si="15"/>
        <v>0</v>
      </c>
      <c r="AH39" s="241">
        <v>94.8</v>
      </c>
      <c r="AI39" s="241">
        <v>95.8</v>
      </c>
      <c r="AJ39" s="241">
        <v>95.6</v>
      </c>
      <c r="AK39" s="241">
        <v>96.8</v>
      </c>
      <c r="AL39" s="241">
        <v>63.6</v>
      </c>
      <c r="AM39" s="241">
        <v>63</v>
      </c>
      <c r="AN39" s="241">
        <v>62.2</v>
      </c>
      <c r="AO39" s="241">
        <v>61.8</v>
      </c>
      <c r="AP39" s="241">
        <v>92.6</v>
      </c>
      <c r="AQ39" s="241">
        <v>93.2</v>
      </c>
      <c r="AR39" s="241">
        <v>93.7</v>
      </c>
      <c r="AS39" s="241">
        <v>94.1</v>
      </c>
    </row>
    <row r="40" spans="1:45" x14ac:dyDescent="0.25">
      <c r="A40" s="100">
        <v>45</v>
      </c>
      <c r="B40" s="101">
        <f>IF(('tuot-VKO'!$J$5&gt;0),$O$5-SUM('tuot-VKO'!$C$11:'tuot-VKO'!C41), )</f>
        <v>9990</v>
      </c>
      <c r="C40" s="102">
        <f>IF(('tuot-VKO'!$J$5&gt;0),100-(SUM('tuot-VKO'!C$11:C41))/$O$5*100, )</f>
        <v>100</v>
      </c>
      <c r="D40" s="103">
        <f t="shared" si="21"/>
        <v>97.568710359408044</v>
      </c>
      <c r="E40" s="104">
        <f>IF(('tuot-VKO'!$J$5&gt;0),('tuot-VKO'!D41+'tuot-VKO'!E41)/7/B40*100, )</f>
        <v>0</v>
      </c>
      <c r="F40" s="105">
        <f>IF(('tuot-VKO'!$J$5&gt;0),'tuot-VKO'!D41/7/B40*100, )</f>
        <v>0</v>
      </c>
      <c r="G40" s="103">
        <f t="shared" si="16"/>
        <v>94.6</v>
      </c>
      <c r="H40" s="102">
        <f t="shared" si="2"/>
        <v>0</v>
      </c>
      <c r="I40" s="103">
        <f t="shared" si="3"/>
        <v>165.31899999999999</v>
      </c>
      <c r="J40" s="104">
        <f>IF('tuot-VKO'!F41&gt;0,'tuot-VKO'!F41,J39)</f>
        <v>0</v>
      </c>
      <c r="K40" s="106">
        <f t="shared" si="17"/>
        <v>63.8</v>
      </c>
      <c r="L40" s="102">
        <f>IF(U40&lt;&gt;0,SUMPRODUCT(($J$10:J40)*($Y$10:Y40)/U40),0)</f>
        <v>0</v>
      </c>
      <c r="M40" s="103">
        <f>IF(V40&lt;&gt;0,SUMPRODUCT(($K$10:K40)*($Z$10:Z40)/V40),0)</f>
        <v>59.972734291228818</v>
      </c>
      <c r="N40" s="101">
        <f t="shared" si="4"/>
        <v>0</v>
      </c>
      <c r="O40" s="107">
        <f t="shared" si="0"/>
        <v>410</v>
      </c>
      <c r="P40" s="108">
        <f t="shared" si="22"/>
        <v>0</v>
      </c>
      <c r="Q40" s="109">
        <f t="shared" si="22"/>
        <v>9.7500000000000018</v>
      </c>
      <c r="R40" s="104">
        <f>IF(('tuot-VKO'!$J$5&gt;0),('tuot-VKO'!D41+'tuot-VKO'!E41)/7/$O$5*100,0)</f>
        <v>0</v>
      </c>
      <c r="S40" s="105">
        <f>IF(('tuot-VKO'!$J$5&gt;0),'tuot-VKO'!D41/7/$O$5*100,0)</f>
        <v>0</v>
      </c>
      <c r="T40" s="103">
        <f t="shared" si="18"/>
        <v>92.3</v>
      </c>
      <c r="U40" s="104">
        <f t="shared" si="5"/>
        <v>0</v>
      </c>
      <c r="V40" s="103">
        <f t="shared" si="6"/>
        <v>163.20500000000001</v>
      </c>
      <c r="W40" s="245">
        <f t="shared" si="19"/>
        <v>87.977999999999994</v>
      </c>
      <c r="X40" s="245">
        <f t="shared" si="20"/>
        <v>9.4599999999999937</v>
      </c>
      <c r="Y40" s="243">
        <f t="shared" si="7"/>
        <v>0</v>
      </c>
      <c r="Z40" s="243">
        <f t="shared" si="8"/>
        <v>6.4610000000000127</v>
      </c>
      <c r="AA40" s="243">
        <f t="shared" si="9"/>
        <v>0</v>
      </c>
      <c r="AB40" s="243" t="str">
        <f t="shared" si="10"/>
        <v/>
      </c>
      <c r="AC40" s="243" t="str">
        <f t="shared" si="1"/>
        <v/>
      </c>
      <c r="AD40" s="243">
        <f t="shared" si="12"/>
        <v>0</v>
      </c>
      <c r="AE40" s="243">
        <f t="shared" si="13"/>
        <v>100</v>
      </c>
      <c r="AF40" s="243">
        <f t="shared" si="14"/>
        <v>0</v>
      </c>
      <c r="AG40" s="243">
        <f t="shared" si="15"/>
        <v>0</v>
      </c>
      <c r="AH40" s="241">
        <v>94.6</v>
      </c>
      <c r="AI40" s="241">
        <v>95.8</v>
      </c>
      <c r="AJ40" s="241">
        <v>95.4</v>
      </c>
      <c r="AK40" s="241">
        <v>96.7</v>
      </c>
      <c r="AL40" s="241">
        <v>63.8</v>
      </c>
      <c r="AM40" s="241">
        <v>63.1</v>
      </c>
      <c r="AN40" s="241">
        <v>62.3</v>
      </c>
      <c r="AO40" s="241">
        <v>61.9</v>
      </c>
      <c r="AP40" s="241">
        <v>92.3</v>
      </c>
      <c r="AQ40" s="241">
        <v>93</v>
      </c>
      <c r="AR40" s="241">
        <v>93.4</v>
      </c>
      <c r="AS40" s="241">
        <v>93.9</v>
      </c>
    </row>
    <row r="41" spans="1:45" x14ac:dyDescent="0.25">
      <c r="A41" s="81">
        <v>46</v>
      </c>
      <c r="B41" s="91">
        <f>IF(('tuot-VKO'!$J$5&gt;0),$O$5-SUM('tuot-VKO'!$C$11:'tuot-VKO'!C42), )</f>
        <v>9990</v>
      </c>
      <c r="C41" s="92">
        <f>IF(('tuot-VKO'!$J$5&gt;0),100-(SUM('tuot-VKO'!C$11:C42))/$O$5*100, )</f>
        <v>100</v>
      </c>
      <c r="D41" s="93">
        <f t="shared" si="21"/>
        <v>97.351694915254242</v>
      </c>
      <c r="E41" s="94">
        <f>IF(('tuot-VKO'!$J$5&gt;0),('tuot-VKO'!D42+'tuot-VKO'!E42)/7/B41*100, )</f>
        <v>0</v>
      </c>
      <c r="F41" s="95">
        <f>IF(('tuot-VKO'!$J$5&gt;0),'tuot-VKO'!D42/7/B41*100, )</f>
        <v>0</v>
      </c>
      <c r="G41" s="93">
        <f t="shared" si="16"/>
        <v>94.4</v>
      </c>
      <c r="H41" s="92">
        <f t="shared" si="2"/>
        <v>0</v>
      </c>
      <c r="I41" s="93">
        <f t="shared" si="3"/>
        <v>171.92699999999999</v>
      </c>
      <c r="J41" s="94">
        <f>IF('tuot-VKO'!F42&gt;0,'tuot-VKO'!F42,J40)</f>
        <v>0</v>
      </c>
      <c r="K41" s="96">
        <f t="shared" si="17"/>
        <v>64</v>
      </c>
      <c r="L41" s="92">
        <f>IF(U41&lt;&gt;0,SUMPRODUCT(($J$10:J41)*($Y$10:Y41)/U41),0)</f>
        <v>0</v>
      </c>
      <c r="M41" s="93">
        <f>IF(V41&lt;&gt;0,SUMPRODUCT(($K$10:K41)*($Z$10:Z41)/V41),0)</f>
        <v>60.125455970949915</v>
      </c>
      <c r="N41" s="91">
        <f t="shared" si="4"/>
        <v>0</v>
      </c>
      <c r="O41" s="97">
        <f t="shared" si="0"/>
        <v>410</v>
      </c>
      <c r="P41" s="98">
        <f t="shared" si="22"/>
        <v>0</v>
      </c>
      <c r="Q41" s="99">
        <f t="shared" si="22"/>
        <v>10.160000000000002</v>
      </c>
      <c r="R41" s="94">
        <f>IF(('tuot-VKO'!$J$5&gt;0),('tuot-VKO'!D42+'tuot-VKO'!E42)/7/$O$5*100,0)</f>
        <v>0</v>
      </c>
      <c r="S41" s="95">
        <f>IF(('tuot-VKO'!$J$5&gt;0),'tuot-VKO'!D42/7/$O$5*100,0)</f>
        <v>0</v>
      </c>
      <c r="T41" s="93">
        <f t="shared" si="18"/>
        <v>91.9</v>
      </c>
      <c r="U41" s="94">
        <f t="shared" si="5"/>
        <v>0</v>
      </c>
      <c r="V41" s="93">
        <f t="shared" si="6"/>
        <v>169.63800000000001</v>
      </c>
      <c r="W41" s="245">
        <f t="shared" si="19"/>
        <v>87.792000000000002</v>
      </c>
      <c r="X41" s="245">
        <f t="shared" si="20"/>
        <v>9.4399999999999977</v>
      </c>
      <c r="Y41" s="243">
        <f t="shared" si="7"/>
        <v>0</v>
      </c>
      <c r="Z41" s="243">
        <f t="shared" si="8"/>
        <v>6.4329999999999927</v>
      </c>
      <c r="AA41" s="243">
        <f t="shared" si="9"/>
        <v>0</v>
      </c>
      <c r="AB41" s="243" t="str">
        <f t="shared" si="10"/>
        <v/>
      </c>
      <c r="AC41" s="243" t="str">
        <f t="shared" si="1"/>
        <v/>
      </c>
      <c r="AD41" s="243">
        <f t="shared" si="12"/>
        <v>0</v>
      </c>
      <c r="AE41" s="243">
        <f t="shared" si="13"/>
        <v>100</v>
      </c>
      <c r="AF41" s="243">
        <f t="shared" si="14"/>
        <v>0</v>
      </c>
      <c r="AG41" s="243">
        <f t="shared" si="15"/>
        <v>0</v>
      </c>
      <c r="AH41" s="241">
        <v>94.4</v>
      </c>
      <c r="AI41" s="241">
        <v>95.5</v>
      </c>
      <c r="AJ41" s="241">
        <v>95.2</v>
      </c>
      <c r="AK41" s="241">
        <v>96.6</v>
      </c>
      <c r="AL41" s="241">
        <v>64</v>
      </c>
      <c r="AM41" s="241">
        <v>63.2</v>
      </c>
      <c r="AN41" s="241">
        <v>62.4</v>
      </c>
      <c r="AO41" s="241">
        <v>62</v>
      </c>
      <c r="AP41" s="241">
        <v>91.9</v>
      </c>
      <c r="AQ41" s="241">
        <v>92.7</v>
      </c>
      <c r="AR41" s="241">
        <v>93.1</v>
      </c>
      <c r="AS41" s="241">
        <v>93.7</v>
      </c>
    </row>
    <row r="42" spans="1:45" x14ac:dyDescent="0.25">
      <c r="A42" s="81">
        <v>47</v>
      </c>
      <c r="B42" s="91">
        <f>IF(('tuot-VKO'!$J$5&gt;0),$O$5-SUM('tuot-VKO'!$C$11:'tuot-VKO'!C43), )</f>
        <v>9990</v>
      </c>
      <c r="C42" s="92">
        <f>IF(('tuot-VKO'!$J$5&gt;0),100-(SUM('tuot-VKO'!C$11:C43))/$O$5*100, )</f>
        <v>100</v>
      </c>
      <c r="D42" s="93">
        <f t="shared" si="21"/>
        <v>97.343251859723694</v>
      </c>
      <c r="E42" s="94">
        <f>IF(('tuot-VKO'!$J$5&gt;0),('tuot-VKO'!D43+'tuot-VKO'!E43)/7/B42*100, )</f>
        <v>0</v>
      </c>
      <c r="F42" s="95">
        <f>IF(('tuot-VKO'!$J$5&gt;0),'tuot-VKO'!D43/7/B42*100, )</f>
        <v>0</v>
      </c>
      <c r="G42" s="93">
        <f t="shared" si="16"/>
        <v>94.1</v>
      </c>
      <c r="H42" s="92">
        <f t="shared" si="2"/>
        <v>0</v>
      </c>
      <c r="I42" s="93">
        <f t="shared" si="3"/>
        <v>178.51399999999998</v>
      </c>
      <c r="J42" s="94">
        <f>IF('tuot-VKO'!F43&gt;0,'tuot-VKO'!F43,J41)</f>
        <v>0</v>
      </c>
      <c r="K42" s="96">
        <f t="shared" si="17"/>
        <v>64.2</v>
      </c>
      <c r="L42" s="92">
        <f>IF(U42&lt;&gt;0,SUMPRODUCT(($J$10:J42)*($Y$10:Y42)/U42),0)</f>
        <v>0</v>
      </c>
      <c r="M42" s="93">
        <f>IF(V42&lt;&gt;0,SUMPRODUCT(($K$10:K42)*($Z$10:Z42)/V42),0)</f>
        <v>60.273856858846912</v>
      </c>
      <c r="N42" s="91">
        <f t="shared" ref="N42:N73" si="23">J42*Y42</f>
        <v>0</v>
      </c>
      <c r="O42" s="97">
        <f t="shared" ref="O42:O73" si="24">ROUND(K42*Z42/10,0)*10</f>
        <v>410</v>
      </c>
      <c r="P42" s="98">
        <f t="shared" si="22"/>
        <v>0</v>
      </c>
      <c r="Q42" s="99">
        <f t="shared" si="22"/>
        <v>10.570000000000002</v>
      </c>
      <c r="R42" s="94">
        <f>IF(('tuot-VKO'!$J$5&gt;0),('tuot-VKO'!D43+'tuot-VKO'!E43)/7/$O$5*100,0)</f>
        <v>0</v>
      </c>
      <c r="S42" s="95">
        <f>IF(('tuot-VKO'!$J$5&gt;0),'tuot-VKO'!D43/7/$O$5*100,0)</f>
        <v>0</v>
      </c>
      <c r="T42" s="93">
        <f t="shared" si="18"/>
        <v>91.6</v>
      </c>
      <c r="U42" s="94">
        <f t="shared" si="5"/>
        <v>0</v>
      </c>
      <c r="V42" s="93">
        <f t="shared" si="6"/>
        <v>176.05</v>
      </c>
      <c r="W42" s="245">
        <f t="shared" si="19"/>
        <v>87.512999999999991</v>
      </c>
      <c r="X42" s="245">
        <f t="shared" si="20"/>
        <v>9.4099999999999966</v>
      </c>
      <c r="Y42" s="243">
        <f t="shared" si="7"/>
        <v>0</v>
      </c>
      <c r="Z42" s="243">
        <f t="shared" si="8"/>
        <v>6.4120000000000061</v>
      </c>
      <c r="AA42" s="243">
        <f t="shared" si="9"/>
        <v>0</v>
      </c>
      <c r="AB42" s="243" t="str">
        <f t="shared" si="10"/>
        <v/>
      </c>
      <c r="AC42" s="243" t="str">
        <f t="shared" ref="AC42:AC73" si="25">IF(F42&gt;0,(IF(G42&gt;=90,G42,"" )),"")</f>
        <v/>
      </c>
      <c r="AD42" s="243">
        <f t="shared" si="12"/>
        <v>0</v>
      </c>
      <c r="AE42" s="243">
        <f t="shared" si="13"/>
        <v>100</v>
      </c>
      <c r="AF42" s="243">
        <f t="shared" si="14"/>
        <v>0</v>
      </c>
      <c r="AG42" s="243">
        <f t="shared" si="15"/>
        <v>0</v>
      </c>
      <c r="AH42" s="241">
        <v>94.1</v>
      </c>
      <c r="AI42" s="241">
        <v>95.4</v>
      </c>
      <c r="AJ42" s="241">
        <v>94.9</v>
      </c>
      <c r="AK42" s="241">
        <v>96.5</v>
      </c>
      <c r="AL42" s="241">
        <v>64.2</v>
      </c>
      <c r="AM42" s="241">
        <v>63.3</v>
      </c>
      <c r="AN42" s="241">
        <v>62.5</v>
      </c>
      <c r="AO42" s="241">
        <v>62.1</v>
      </c>
      <c r="AP42" s="241">
        <v>91.6</v>
      </c>
      <c r="AQ42" s="241">
        <v>92.4</v>
      </c>
      <c r="AR42" s="241">
        <v>92.7</v>
      </c>
      <c r="AS42" s="241">
        <v>93.5</v>
      </c>
    </row>
    <row r="43" spans="1:45" x14ac:dyDescent="0.25">
      <c r="A43" s="81">
        <v>48</v>
      </c>
      <c r="B43" s="91">
        <f>IF(('tuot-VKO'!$J$5&gt;0),$O$5-SUM('tuot-VKO'!$C$11:'tuot-VKO'!C44), )</f>
        <v>9990</v>
      </c>
      <c r="C43" s="92">
        <f>IF(('tuot-VKO'!$J$5&gt;0),100-(SUM('tuot-VKO'!C$11:C44))/$O$5*100, )</f>
        <v>100</v>
      </c>
      <c r="D43" s="93">
        <f t="shared" si="21"/>
        <v>97.228144989339029</v>
      </c>
      <c r="E43" s="94">
        <f>IF(('tuot-VKO'!$J$5&gt;0),('tuot-VKO'!D44+'tuot-VKO'!E44)/7/B43*100, )</f>
        <v>0</v>
      </c>
      <c r="F43" s="95">
        <f>IF(('tuot-VKO'!$J$5&gt;0),'tuot-VKO'!D44/7/B43*100, )</f>
        <v>0</v>
      </c>
      <c r="G43" s="93">
        <f t="shared" si="16"/>
        <v>93.8</v>
      </c>
      <c r="H43" s="92">
        <f t="shared" ref="H43:H74" si="26">7*E43/100+H42</f>
        <v>0</v>
      </c>
      <c r="I43" s="93">
        <f t="shared" ref="I43:I74" si="27">IF(ISNUMBER(G43),7*G43/100+I42, )</f>
        <v>185.07999999999998</v>
      </c>
      <c r="J43" s="94">
        <f>IF('tuot-VKO'!F44&gt;0,'tuot-VKO'!F44,J42)</f>
        <v>0</v>
      </c>
      <c r="K43" s="96">
        <f t="shared" si="17"/>
        <v>64.400000000000006</v>
      </c>
      <c r="L43" s="92">
        <f>IF(U43&lt;&gt;0,SUMPRODUCT(($J$10:J43)*($Y$10:Y43)/U43),0)</f>
        <v>0</v>
      </c>
      <c r="M43" s="93">
        <f>IF(V43&lt;&gt;0,SUMPRODUCT(($K$10:K43)*($Z$10:Z43)/V43),0)</f>
        <v>60.418244954339649</v>
      </c>
      <c r="N43" s="91">
        <f t="shared" si="23"/>
        <v>0</v>
      </c>
      <c r="O43" s="97">
        <f t="shared" si="24"/>
        <v>410</v>
      </c>
      <c r="P43" s="98">
        <f t="shared" si="22"/>
        <v>0</v>
      </c>
      <c r="Q43" s="99">
        <f t="shared" si="22"/>
        <v>10.980000000000002</v>
      </c>
      <c r="R43" s="94">
        <f>IF(('tuot-VKO'!$J$5&gt;0),('tuot-VKO'!D44+'tuot-VKO'!E44)/7/$O$5*100,0)</f>
        <v>0</v>
      </c>
      <c r="S43" s="95">
        <f>IF(('tuot-VKO'!$J$5&gt;0),'tuot-VKO'!D44/7/$O$5*100,0)</f>
        <v>0</v>
      </c>
      <c r="T43" s="93">
        <f t="shared" si="18"/>
        <v>91.2</v>
      </c>
      <c r="U43" s="94">
        <f t="shared" ref="U43:U74" si="28">7*R43/100+U42</f>
        <v>0</v>
      </c>
      <c r="V43" s="93">
        <f t="shared" ref="V43:V74" si="29">IF(ISNUMBER(T43),7*T43/100+V42, )</f>
        <v>182.434</v>
      </c>
      <c r="W43" s="245">
        <f t="shared" si="19"/>
        <v>87.233999999999995</v>
      </c>
      <c r="X43" s="245">
        <f t="shared" si="20"/>
        <v>9.3799999999999955</v>
      </c>
      <c r="Y43" s="243">
        <f t="shared" ref="Y43:Y74" si="30">U43-U42</f>
        <v>0</v>
      </c>
      <c r="Z43" s="243">
        <f t="shared" ref="Z43:Z74" si="31">V43-V42</f>
        <v>6.3839999999999861</v>
      </c>
      <c r="AA43" s="243">
        <f t="shared" ref="AA43:AA74" si="32">IF(N43&gt;0,N43/7,AA42)</f>
        <v>0</v>
      </c>
      <c r="AB43" s="243" t="str">
        <f t="shared" si="10"/>
        <v/>
      </c>
      <c r="AC43" s="243" t="str">
        <f t="shared" si="25"/>
        <v/>
      </c>
      <c r="AD43" s="243">
        <f t="shared" si="12"/>
        <v>0</v>
      </c>
      <c r="AE43" s="243">
        <f t="shared" si="13"/>
        <v>100</v>
      </c>
      <c r="AF43" s="243">
        <f t="shared" si="14"/>
        <v>0</v>
      </c>
      <c r="AG43" s="243">
        <f t="shared" si="15"/>
        <v>0</v>
      </c>
      <c r="AH43" s="241">
        <v>93.8</v>
      </c>
      <c r="AI43" s="241">
        <v>95.2</v>
      </c>
      <c r="AJ43" s="241">
        <v>94.6</v>
      </c>
      <c r="AK43" s="241">
        <v>96.4</v>
      </c>
      <c r="AL43" s="241">
        <v>64.400000000000006</v>
      </c>
      <c r="AM43" s="241">
        <v>63.4</v>
      </c>
      <c r="AN43" s="241">
        <v>62.6</v>
      </c>
      <c r="AO43" s="241">
        <v>62.2</v>
      </c>
      <c r="AP43" s="241">
        <v>91.2</v>
      </c>
      <c r="AQ43" s="241">
        <v>92.1</v>
      </c>
      <c r="AR43" s="241">
        <v>92.4</v>
      </c>
      <c r="AS43" s="241">
        <v>93.2</v>
      </c>
    </row>
    <row r="44" spans="1:45" x14ac:dyDescent="0.25">
      <c r="A44" s="81">
        <v>49</v>
      </c>
      <c r="B44" s="91">
        <f>IF(('tuot-VKO'!$J$5&gt;0),$O$5-SUM('tuot-VKO'!$C$11:'tuot-VKO'!C45), )</f>
        <v>9990</v>
      </c>
      <c r="C44" s="92">
        <f>IF(('tuot-VKO'!$J$5&gt;0),100-(SUM('tuot-VKO'!C$11:C45))/$O$5*100, )</f>
        <v>100</v>
      </c>
      <c r="D44" s="93">
        <f t="shared" si="21"/>
        <v>97.112299465240639</v>
      </c>
      <c r="E44" s="94">
        <f>IF(('tuot-VKO'!$J$5&gt;0),('tuot-VKO'!D45+'tuot-VKO'!E45)/7/B44*100, )</f>
        <v>0</v>
      </c>
      <c r="F44" s="95">
        <f>IF(('tuot-VKO'!$J$5&gt;0),'tuot-VKO'!D45/7/B44*100, )</f>
        <v>0</v>
      </c>
      <c r="G44" s="93">
        <f t="shared" si="16"/>
        <v>93.5</v>
      </c>
      <c r="H44" s="92">
        <f t="shared" si="26"/>
        <v>0</v>
      </c>
      <c r="I44" s="93">
        <f t="shared" si="27"/>
        <v>191.62499999999997</v>
      </c>
      <c r="J44" s="94">
        <f>IF('tuot-VKO'!F45&gt;0,'tuot-VKO'!F45,J43)</f>
        <v>0</v>
      </c>
      <c r="K44" s="96">
        <f t="shared" si="17"/>
        <v>64.5</v>
      </c>
      <c r="L44" s="92">
        <f>IF(U44&lt;&gt;0,SUMPRODUCT(($J$10:J44)*($Y$10:Y44)/U44),0)</f>
        <v>0</v>
      </c>
      <c r="M44" s="93">
        <f>IF(V44&lt;&gt;0,SUMPRODUCT(($K$10:K44)*($Z$10:Z44)/V44),0)</f>
        <v>60.555665554319617</v>
      </c>
      <c r="N44" s="91">
        <f t="shared" si="23"/>
        <v>0</v>
      </c>
      <c r="O44" s="97">
        <f t="shared" si="24"/>
        <v>410</v>
      </c>
      <c r="P44" s="98">
        <f t="shared" ref="P44:Q59" si="33">P43+N44/1000</f>
        <v>0</v>
      </c>
      <c r="Q44" s="99">
        <f t="shared" si="33"/>
        <v>11.390000000000002</v>
      </c>
      <c r="R44" s="94">
        <f>IF(('tuot-VKO'!$J$5&gt;0),('tuot-VKO'!D45+'tuot-VKO'!E45)/7/$O$5*100,0)</f>
        <v>0</v>
      </c>
      <c r="S44" s="95">
        <f>IF(('tuot-VKO'!$J$5&gt;0),'tuot-VKO'!D45/7/$O$5*100,0)</f>
        <v>0</v>
      </c>
      <c r="T44" s="93">
        <f t="shared" si="18"/>
        <v>90.8</v>
      </c>
      <c r="U44" s="94">
        <f t="shared" si="28"/>
        <v>0</v>
      </c>
      <c r="V44" s="93">
        <f t="shared" si="29"/>
        <v>188.79</v>
      </c>
      <c r="W44" s="245">
        <f t="shared" si="19"/>
        <v>86.954999999999998</v>
      </c>
      <c r="X44" s="245">
        <f t="shared" si="20"/>
        <v>9.3500000000000085</v>
      </c>
      <c r="Y44" s="243">
        <f t="shared" si="30"/>
        <v>0</v>
      </c>
      <c r="Z44" s="243">
        <f t="shared" si="31"/>
        <v>6.3559999999999945</v>
      </c>
      <c r="AA44" s="243">
        <f t="shared" si="32"/>
        <v>0</v>
      </c>
      <c r="AB44" s="243" t="str">
        <f t="shared" si="10"/>
        <v/>
      </c>
      <c r="AC44" s="243" t="str">
        <f t="shared" si="25"/>
        <v/>
      </c>
      <c r="AD44" s="243">
        <f t="shared" ref="AD44:AD75" si="34">IF(U44&gt;U43,V44,AD43)</f>
        <v>0</v>
      </c>
      <c r="AE44" s="243">
        <f t="shared" ref="AE44:AE75" si="35">IF(C44&lt;C43,D44,AE43)</f>
        <v>100</v>
      </c>
      <c r="AF44" s="243">
        <f t="shared" ref="AF44:AF75" si="36">IF(L44&gt;L43,M44,AF43)</f>
        <v>0</v>
      </c>
      <c r="AG44" s="243">
        <f t="shared" ref="AG44:AG75" si="37">IF(N44&gt;0,Q44,AG43)</f>
        <v>0</v>
      </c>
      <c r="AH44" s="241">
        <v>93.5</v>
      </c>
      <c r="AI44" s="241">
        <v>95.1</v>
      </c>
      <c r="AJ44" s="241">
        <v>94.4</v>
      </c>
      <c r="AK44" s="241">
        <v>96.3</v>
      </c>
      <c r="AL44" s="241">
        <v>64.5</v>
      </c>
      <c r="AM44" s="241">
        <v>63.5</v>
      </c>
      <c r="AN44" s="241">
        <v>62.7</v>
      </c>
      <c r="AO44" s="241">
        <v>62.2</v>
      </c>
      <c r="AP44" s="241">
        <v>90.8</v>
      </c>
      <c r="AQ44" s="241">
        <v>91.7</v>
      </c>
      <c r="AR44" s="241">
        <v>92</v>
      </c>
      <c r="AS44" s="241">
        <v>93</v>
      </c>
    </row>
    <row r="45" spans="1:45" x14ac:dyDescent="0.25">
      <c r="A45" s="100">
        <v>50</v>
      </c>
      <c r="B45" s="101">
        <f>IF(('tuot-VKO'!$J$5&gt;0),$O$5-SUM('tuot-VKO'!$C$11:'tuot-VKO'!C46), )</f>
        <v>9990</v>
      </c>
      <c r="C45" s="102">
        <f>IF(('tuot-VKO'!$J$5&gt;0),100-(SUM('tuot-VKO'!C$11:C46))/$O$5*100, )</f>
        <v>100</v>
      </c>
      <c r="D45" s="103">
        <f t="shared" si="21"/>
        <v>97.099892588614395</v>
      </c>
      <c r="E45" s="104">
        <f>IF(('tuot-VKO'!$J$5&gt;0),('tuot-VKO'!D46+'tuot-VKO'!E46)/7/B45*100, )</f>
        <v>0</v>
      </c>
      <c r="F45" s="105">
        <f>IF(('tuot-VKO'!$J$5&gt;0),'tuot-VKO'!D46/7/B45*100, )</f>
        <v>0</v>
      </c>
      <c r="G45" s="103">
        <f t="shared" si="16"/>
        <v>93.1</v>
      </c>
      <c r="H45" s="102">
        <f t="shared" si="26"/>
        <v>0</v>
      </c>
      <c r="I45" s="103">
        <f t="shared" si="27"/>
        <v>198.14199999999997</v>
      </c>
      <c r="J45" s="104">
        <f>IF('tuot-VKO'!F46&gt;0,'tuot-VKO'!F46,J44)</f>
        <v>0</v>
      </c>
      <c r="K45" s="106">
        <f t="shared" si="17"/>
        <v>64.599999999999994</v>
      </c>
      <c r="L45" s="102">
        <f>IF(U45&lt;&gt;0,SUMPRODUCT(($J$10:J45)*($Y$10:Y45)/U45),0)</f>
        <v>0</v>
      </c>
      <c r="M45" s="103">
        <f>IF(V45&lt;&gt;0,SUMPRODUCT(($K$10:K45)*($Z$10:Z45)/V45),0)</f>
        <v>60.686830020807925</v>
      </c>
      <c r="N45" s="101">
        <f t="shared" si="23"/>
        <v>0</v>
      </c>
      <c r="O45" s="107">
        <f t="shared" si="24"/>
        <v>410</v>
      </c>
      <c r="P45" s="108">
        <f t="shared" si="33"/>
        <v>0</v>
      </c>
      <c r="Q45" s="109">
        <f t="shared" si="33"/>
        <v>11.800000000000002</v>
      </c>
      <c r="R45" s="104">
        <f>IF(('tuot-VKO'!$J$5&gt;0),('tuot-VKO'!D46+'tuot-VKO'!E46)/7/$O$5*100,0)</f>
        <v>0</v>
      </c>
      <c r="S45" s="105">
        <f>IF(('tuot-VKO'!$J$5&gt;0),'tuot-VKO'!D46/7/$O$5*100,0)</f>
        <v>0</v>
      </c>
      <c r="T45" s="103">
        <f t="shared" si="18"/>
        <v>90.4</v>
      </c>
      <c r="U45" s="104">
        <f t="shared" si="28"/>
        <v>0</v>
      </c>
      <c r="V45" s="103">
        <f t="shared" si="29"/>
        <v>195.11799999999999</v>
      </c>
      <c r="W45" s="245">
        <f t="shared" si="19"/>
        <v>86.582999999999998</v>
      </c>
      <c r="X45" s="245">
        <f t="shared" si="20"/>
        <v>9.3100000000000023</v>
      </c>
      <c r="Y45" s="243">
        <f t="shared" si="30"/>
        <v>0</v>
      </c>
      <c r="Z45" s="243">
        <f t="shared" si="31"/>
        <v>6.328000000000003</v>
      </c>
      <c r="AA45" s="243">
        <f t="shared" si="32"/>
        <v>0</v>
      </c>
      <c r="AB45" s="243" t="str">
        <f t="shared" si="10"/>
        <v/>
      </c>
      <c r="AC45" s="243" t="str">
        <f t="shared" si="25"/>
        <v/>
      </c>
      <c r="AD45" s="243">
        <f t="shared" si="34"/>
        <v>0</v>
      </c>
      <c r="AE45" s="243">
        <f t="shared" si="35"/>
        <v>100</v>
      </c>
      <c r="AF45" s="243">
        <f t="shared" si="36"/>
        <v>0</v>
      </c>
      <c r="AG45" s="243">
        <f t="shared" si="37"/>
        <v>0</v>
      </c>
      <c r="AH45" s="241">
        <v>93.1</v>
      </c>
      <c r="AI45" s="241">
        <v>94.8</v>
      </c>
      <c r="AJ45" s="241">
        <v>94.2</v>
      </c>
      <c r="AK45" s="241">
        <v>96.1</v>
      </c>
      <c r="AL45" s="241">
        <v>64.599999999999994</v>
      </c>
      <c r="AM45" s="241">
        <v>63.6</v>
      </c>
      <c r="AN45" s="241">
        <v>62.8</v>
      </c>
      <c r="AO45" s="241">
        <v>62.3</v>
      </c>
      <c r="AP45" s="241">
        <v>90.4</v>
      </c>
      <c r="AQ45" s="241">
        <v>91.4</v>
      </c>
      <c r="AR45" s="241">
        <v>91.7</v>
      </c>
      <c r="AS45" s="241">
        <v>92.6</v>
      </c>
    </row>
    <row r="46" spans="1:45" x14ac:dyDescent="0.25">
      <c r="A46" s="81">
        <v>51</v>
      </c>
      <c r="B46" s="91">
        <f>IF(('tuot-VKO'!$J$5&gt;0),$O$5-SUM('tuot-VKO'!$C$11:'tuot-VKO'!C47), )</f>
        <v>9990</v>
      </c>
      <c r="C46" s="92">
        <f>IF(('tuot-VKO'!$J$5&gt;0),100-(SUM('tuot-VKO'!C$11:C47))/$O$5*100, )</f>
        <v>100</v>
      </c>
      <c r="D46" s="93">
        <f t="shared" si="21"/>
        <v>96.982758620689651</v>
      </c>
      <c r="E46" s="94">
        <f>IF(('tuot-VKO'!$J$5&gt;0),('tuot-VKO'!D47+'tuot-VKO'!E47)/7/B46*100, )</f>
        <v>0</v>
      </c>
      <c r="F46" s="95">
        <f>IF(('tuot-VKO'!$J$5&gt;0),'tuot-VKO'!D47/7/B46*100, )</f>
        <v>0</v>
      </c>
      <c r="G46" s="93">
        <f t="shared" ref="G46:G77" si="38">CHOOSE($W$8,AH46,AI46,AJ46,AK46,AK46)</f>
        <v>92.8</v>
      </c>
      <c r="H46" s="92">
        <f t="shared" si="26"/>
        <v>0</v>
      </c>
      <c r="I46" s="93">
        <f t="shared" si="27"/>
        <v>204.63799999999998</v>
      </c>
      <c r="J46" s="94">
        <f>IF('tuot-VKO'!F47&gt;0,'tuot-VKO'!F47,J45)</f>
        <v>0</v>
      </c>
      <c r="K46" s="96">
        <f t="shared" ref="K46:K77" si="39">CHOOSE($W$8,AL46,AM46,AN46,AO46,AO46)</f>
        <v>64.7</v>
      </c>
      <c r="L46" s="92">
        <f>IF(U46&lt;&gt;0,SUMPRODUCT(($J$10:J46)*($Y$10:Y46)/U46),0)</f>
        <v>0</v>
      </c>
      <c r="M46" s="93">
        <f>IF(V46&lt;&gt;0,SUMPRODUCT(($K$10:K46)*($Z$10:Z46)/V46),0)</f>
        <v>60.812354903732533</v>
      </c>
      <c r="N46" s="91">
        <f t="shared" si="23"/>
        <v>0</v>
      </c>
      <c r="O46" s="97">
        <f t="shared" si="24"/>
        <v>410</v>
      </c>
      <c r="P46" s="98">
        <f t="shared" si="33"/>
        <v>0</v>
      </c>
      <c r="Q46" s="99">
        <f t="shared" si="33"/>
        <v>12.210000000000003</v>
      </c>
      <c r="R46" s="94">
        <f>IF(('tuot-VKO'!$J$5&gt;0),('tuot-VKO'!D47+'tuot-VKO'!E47)/7/$O$5*100,0)</f>
        <v>0</v>
      </c>
      <c r="S46" s="95">
        <f>IF(('tuot-VKO'!$J$5&gt;0),'tuot-VKO'!D47/7/$O$5*100,0)</f>
        <v>0</v>
      </c>
      <c r="T46" s="93">
        <f t="shared" ref="T46:T77" si="40">CHOOSE($W$8,AP46,AQ46,AR46,AS46)</f>
        <v>90</v>
      </c>
      <c r="U46" s="94">
        <f t="shared" si="28"/>
        <v>0</v>
      </c>
      <c r="V46" s="93">
        <f t="shared" si="29"/>
        <v>201.41800000000001</v>
      </c>
      <c r="W46" s="245">
        <f t="shared" ref="W46:W78" si="41">G46-G46*0.07</f>
        <v>86.304000000000002</v>
      </c>
      <c r="X46" s="245">
        <f t="shared" ref="X46:X77" si="42">G46+G46*0.03-W46</f>
        <v>9.2800000000000011</v>
      </c>
      <c r="Y46" s="243">
        <f t="shared" si="30"/>
        <v>0</v>
      </c>
      <c r="Z46" s="243">
        <f t="shared" si="31"/>
        <v>6.3000000000000114</v>
      </c>
      <c r="AA46" s="243">
        <f t="shared" si="32"/>
        <v>0</v>
      </c>
      <c r="AB46" s="243" t="str">
        <f t="shared" si="10"/>
        <v/>
      </c>
      <c r="AC46" s="243" t="str">
        <f t="shared" si="25"/>
        <v/>
      </c>
      <c r="AD46" s="243">
        <f t="shared" si="34"/>
        <v>0</v>
      </c>
      <c r="AE46" s="243">
        <f t="shared" si="35"/>
        <v>100</v>
      </c>
      <c r="AF46" s="243">
        <f t="shared" si="36"/>
        <v>0</v>
      </c>
      <c r="AG46" s="243">
        <f t="shared" si="37"/>
        <v>0</v>
      </c>
      <c r="AH46" s="241">
        <v>92.8</v>
      </c>
      <c r="AI46" s="241">
        <v>94.6</v>
      </c>
      <c r="AJ46" s="241">
        <v>93.9</v>
      </c>
      <c r="AK46" s="241">
        <v>95.9</v>
      </c>
      <c r="AL46" s="241">
        <v>64.7</v>
      </c>
      <c r="AM46" s="241">
        <v>63.7</v>
      </c>
      <c r="AN46" s="241">
        <v>62.9</v>
      </c>
      <c r="AO46" s="241">
        <v>62.4</v>
      </c>
      <c r="AP46" s="241">
        <v>90</v>
      </c>
      <c r="AQ46" s="241">
        <v>91</v>
      </c>
      <c r="AR46" s="241">
        <v>91.3</v>
      </c>
      <c r="AS46" s="241">
        <v>92.3</v>
      </c>
    </row>
    <row r="47" spans="1:45" x14ac:dyDescent="0.25">
      <c r="A47" s="81">
        <v>52</v>
      </c>
      <c r="B47" s="91">
        <f>IF(('tuot-VKO'!$J$5&gt;0),$O$5-SUM('tuot-VKO'!$C$11:'tuot-VKO'!C48), )</f>
        <v>9990</v>
      </c>
      <c r="C47" s="92">
        <f>IF(('tuot-VKO'!$J$5&gt;0),100-(SUM('tuot-VKO'!C$11:C48))/$O$5*100, )</f>
        <v>100</v>
      </c>
      <c r="D47" s="93">
        <f t="shared" si="21"/>
        <v>96.86486486486487</v>
      </c>
      <c r="E47" s="94">
        <f>IF(('tuot-VKO'!$J$5&gt;0),('tuot-VKO'!D48+'tuot-VKO'!E48)/7/B47*100, )</f>
        <v>0</v>
      </c>
      <c r="F47" s="95">
        <f>IF(('tuot-VKO'!$J$5&gt;0),'tuot-VKO'!D48/7/B47*100, )</f>
        <v>0</v>
      </c>
      <c r="G47" s="93">
        <f t="shared" si="38"/>
        <v>92.5</v>
      </c>
      <c r="H47" s="92">
        <f t="shared" si="26"/>
        <v>0</v>
      </c>
      <c r="I47" s="93">
        <f t="shared" si="27"/>
        <v>211.11299999999997</v>
      </c>
      <c r="J47" s="94">
        <f>IF('tuot-VKO'!F48&gt;0,'tuot-VKO'!F48,J46)</f>
        <v>0</v>
      </c>
      <c r="K47" s="96">
        <f t="shared" si="39"/>
        <v>64.900000000000006</v>
      </c>
      <c r="L47" s="92">
        <f>IF(U47&lt;&gt;0,SUMPRODUCT(($J$10:J47)*($Y$10:Y47)/U47),0)</f>
        <v>0</v>
      </c>
      <c r="M47" s="93">
        <f>IF(V47&lt;&gt;0,SUMPRODUCT(($K$10:K47)*($Z$10:Z47)/V47),0)</f>
        <v>60.935797101449275</v>
      </c>
      <c r="N47" s="91">
        <f t="shared" si="23"/>
        <v>0</v>
      </c>
      <c r="O47" s="97">
        <f t="shared" si="24"/>
        <v>410</v>
      </c>
      <c r="P47" s="98">
        <f t="shared" si="33"/>
        <v>0</v>
      </c>
      <c r="Q47" s="99">
        <f t="shared" si="33"/>
        <v>12.620000000000003</v>
      </c>
      <c r="R47" s="94">
        <f>IF(('tuot-VKO'!$J$5&gt;0),('tuot-VKO'!D48+'tuot-VKO'!E48)/7/$O$5*100,0)</f>
        <v>0</v>
      </c>
      <c r="S47" s="95">
        <f>IF(('tuot-VKO'!$J$5&gt;0),'tuot-VKO'!D48/7/$O$5*100,0)</f>
        <v>0</v>
      </c>
      <c r="T47" s="93">
        <f t="shared" si="40"/>
        <v>89.6</v>
      </c>
      <c r="U47" s="94">
        <f t="shared" si="28"/>
        <v>0</v>
      </c>
      <c r="V47" s="93">
        <f t="shared" si="29"/>
        <v>207.69</v>
      </c>
      <c r="W47" s="245">
        <f t="shared" si="41"/>
        <v>86.025000000000006</v>
      </c>
      <c r="X47" s="245">
        <f t="shared" si="42"/>
        <v>9.25</v>
      </c>
      <c r="Y47" s="243">
        <f t="shared" si="30"/>
        <v>0</v>
      </c>
      <c r="Z47" s="243">
        <f t="shared" si="31"/>
        <v>6.2719999999999914</v>
      </c>
      <c r="AA47" s="243">
        <f t="shared" si="32"/>
        <v>0</v>
      </c>
      <c r="AB47" s="243" t="str">
        <f t="shared" si="10"/>
        <v/>
      </c>
      <c r="AC47" s="243" t="str">
        <f t="shared" si="25"/>
        <v/>
      </c>
      <c r="AD47" s="243">
        <f t="shared" si="34"/>
        <v>0</v>
      </c>
      <c r="AE47" s="243">
        <f t="shared" si="35"/>
        <v>100</v>
      </c>
      <c r="AF47" s="243">
        <f t="shared" si="36"/>
        <v>0</v>
      </c>
      <c r="AG47" s="243">
        <f t="shared" si="37"/>
        <v>0</v>
      </c>
      <c r="AH47" s="241">
        <v>92.5</v>
      </c>
      <c r="AI47" s="241">
        <v>94.3</v>
      </c>
      <c r="AJ47" s="241">
        <v>93.7</v>
      </c>
      <c r="AK47" s="241">
        <v>95.7</v>
      </c>
      <c r="AL47" s="241">
        <v>64.900000000000006</v>
      </c>
      <c r="AM47" s="241">
        <v>63.8</v>
      </c>
      <c r="AN47" s="241">
        <v>63</v>
      </c>
      <c r="AO47" s="241">
        <v>62.5</v>
      </c>
      <c r="AP47" s="241">
        <v>89.6</v>
      </c>
      <c r="AQ47" s="241">
        <v>90.6</v>
      </c>
      <c r="AR47" s="241">
        <v>91</v>
      </c>
      <c r="AS47" s="241">
        <v>91.9</v>
      </c>
    </row>
    <row r="48" spans="1:45" x14ac:dyDescent="0.25">
      <c r="A48" s="81">
        <v>53</v>
      </c>
      <c r="B48" s="91">
        <f>IF(('tuot-VKO'!$J$5&gt;0),$O$5-SUM('tuot-VKO'!$C$11:'tuot-VKO'!C49), )</f>
        <v>9990</v>
      </c>
      <c r="C48" s="92">
        <f>IF(('tuot-VKO'!$J$5&gt;0),100-(SUM('tuot-VKO'!C$11:C49))/$O$5*100, )</f>
        <v>100</v>
      </c>
      <c r="D48" s="93">
        <f t="shared" si="21"/>
        <v>96.742671009771982</v>
      </c>
      <c r="E48" s="94">
        <f>IF(('tuot-VKO'!$J$5&gt;0),('tuot-VKO'!D49+'tuot-VKO'!E49)/7/B48*100, )</f>
        <v>0</v>
      </c>
      <c r="F48" s="95">
        <f>IF(('tuot-VKO'!$J$5&gt;0),'tuot-VKO'!D49/7/B48*100, )</f>
        <v>0</v>
      </c>
      <c r="G48" s="93">
        <f t="shared" si="38"/>
        <v>92.1</v>
      </c>
      <c r="H48" s="92">
        <f t="shared" si="26"/>
        <v>0</v>
      </c>
      <c r="I48" s="93">
        <f t="shared" si="27"/>
        <v>217.55999999999997</v>
      </c>
      <c r="J48" s="94">
        <f>IF('tuot-VKO'!F49&gt;0,'tuot-VKO'!F49,J47)</f>
        <v>0</v>
      </c>
      <c r="K48" s="96">
        <f t="shared" si="39"/>
        <v>65</v>
      </c>
      <c r="L48" s="92">
        <f>IF(U48&lt;&gt;0,SUMPRODUCT(($J$10:J48)*($Y$10:Y48)/U48),0)</f>
        <v>0</v>
      </c>
      <c r="M48" s="93">
        <f>IF(V48&lt;&gt;0,SUMPRODUCT(($K$10:K48)*($Z$10:Z48)/V48),0)</f>
        <v>61.054288145021438</v>
      </c>
      <c r="N48" s="91">
        <f t="shared" si="23"/>
        <v>0</v>
      </c>
      <c r="O48" s="97">
        <f t="shared" si="24"/>
        <v>410</v>
      </c>
      <c r="P48" s="98">
        <f t="shared" si="33"/>
        <v>0</v>
      </c>
      <c r="Q48" s="99">
        <f t="shared" si="33"/>
        <v>13.030000000000003</v>
      </c>
      <c r="R48" s="94">
        <f>IF(('tuot-VKO'!$J$5&gt;0),('tuot-VKO'!D49+'tuot-VKO'!E49)/7/$O$5*100,0)</f>
        <v>0</v>
      </c>
      <c r="S48" s="95">
        <f>IF(('tuot-VKO'!$J$5&gt;0),'tuot-VKO'!D49/7/$O$5*100,0)</f>
        <v>0</v>
      </c>
      <c r="T48" s="93">
        <f t="shared" si="40"/>
        <v>89.1</v>
      </c>
      <c r="U48" s="94">
        <f t="shared" si="28"/>
        <v>0</v>
      </c>
      <c r="V48" s="93">
        <f t="shared" si="29"/>
        <v>213.92699999999999</v>
      </c>
      <c r="W48" s="245">
        <f t="shared" si="41"/>
        <v>85.652999999999992</v>
      </c>
      <c r="X48" s="245">
        <f t="shared" si="42"/>
        <v>9.210000000000008</v>
      </c>
      <c r="Y48" s="243">
        <f t="shared" si="30"/>
        <v>0</v>
      </c>
      <c r="Z48" s="243">
        <f t="shared" si="31"/>
        <v>6.2369999999999948</v>
      </c>
      <c r="AA48" s="243">
        <f t="shared" si="32"/>
        <v>0</v>
      </c>
      <c r="AB48" s="243" t="str">
        <f t="shared" si="10"/>
        <v/>
      </c>
      <c r="AC48" s="243" t="str">
        <f t="shared" si="25"/>
        <v/>
      </c>
      <c r="AD48" s="243">
        <f t="shared" si="34"/>
        <v>0</v>
      </c>
      <c r="AE48" s="243">
        <f t="shared" si="35"/>
        <v>100</v>
      </c>
      <c r="AF48" s="243">
        <f t="shared" si="36"/>
        <v>0</v>
      </c>
      <c r="AG48" s="243">
        <f t="shared" si="37"/>
        <v>0</v>
      </c>
      <c r="AH48" s="241">
        <v>92.1</v>
      </c>
      <c r="AI48" s="241">
        <v>94.1</v>
      </c>
      <c r="AJ48" s="241">
        <v>93.4</v>
      </c>
      <c r="AK48" s="241">
        <v>95.5</v>
      </c>
      <c r="AL48" s="241">
        <v>65</v>
      </c>
      <c r="AM48" s="241">
        <v>63.9</v>
      </c>
      <c r="AN48" s="241">
        <v>63.1</v>
      </c>
      <c r="AO48" s="241">
        <v>62.6</v>
      </c>
      <c r="AP48" s="241">
        <v>89.1</v>
      </c>
      <c r="AQ48" s="241">
        <v>90.2</v>
      </c>
      <c r="AR48" s="241">
        <v>90.5</v>
      </c>
      <c r="AS48" s="241">
        <v>91.6</v>
      </c>
    </row>
    <row r="49" spans="1:45" x14ac:dyDescent="0.25">
      <c r="A49" s="81">
        <v>54</v>
      </c>
      <c r="B49" s="91">
        <f>IF(('tuot-VKO'!$J$5&gt;0),$O$5-SUM('tuot-VKO'!$C$11:'tuot-VKO'!C50), )</f>
        <v>9990</v>
      </c>
      <c r="C49" s="92">
        <f>IF(('tuot-VKO'!$J$5&gt;0),100-(SUM('tuot-VKO'!C$11:C50))/$O$5*100, )</f>
        <v>100</v>
      </c>
      <c r="D49" s="93">
        <f t="shared" si="21"/>
        <v>96.623093681917211</v>
      </c>
      <c r="E49" s="94">
        <f>IF(('tuot-VKO'!$J$5&gt;0),('tuot-VKO'!D50+'tuot-VKO'!E50)/7/B49*100, )</f>
        <v>0</v>
      </c>
      <c r="F49" s="95">
        <f>IF(('tuot-VKO'!$J$5&gt;0),'tuot-VKO'!D50/7/B49*100, )</f>
        <v>0</v>
      </c>
      <c r="G49" s="93">
        <f t="shared" si="38"/>
        <v>91.8</v>
      </c>
      <c r="H49" s="92">
        <f t="shared" si="26"/>
        <v>0</v>
      </c>
      <c r="I49" s="93">
        <f t="shared" si="27"/>
        <v>223.98599999999996</v>
      </c>
      <c r="J49" s="94">
        <f>IF('tuot-VKO'!F50&gt;0,'tuot-VKO'!F50,J48)</f>
        <v>0</v>
      </c>
      <c r="K49" s="96">
        <f t="shared" si="39"/>
        <v>65.099999999999994</v>
      </c>
      <c r="L49" s="92">
        <f>IF(U49&lt;&gt;0,SUMPRODUCT(($J$10:J49)*($Y$10:Y49)/U49),0)</f>
        <v>0</v>
      </c>
      <c r="M49" s="93">
        <f>IF(V49&lt;&gt;0,SUMPRODUCT(($K$10:K49)*($Z$10:Z49)/V49),0)</f>
        <v>61.168398626303734</v>
      </c>
      <c r="N49" s="91">
        <f t="shared" si="23"/>
        <v>0</v>
      </c>
      <c r="O49" s="97">
        <f t="shared" si="24"/>
        <v>400</v>
      </c>
      <c r="P49" s="98">
        <f t="shared" si="33"/>
        <v>0</v>
      </c>
      <c r="Q49" s="99">
        <f t="shared" si="33"/>
        <v>13.430000000000003</v>
      </c>
      <c r="R49" s="94">
        <f>IF(('tuot-VKO'!$J$5&gt;0),('tuot-VKO'!D50+'tuot-VKO'!E50)/7/$O$5*100,0)</f>
        <v>0</v>
      </c>
      <c r="S49" s="95">
        <f>IF(('tuot-VKO'!$J$5&gt;0),'tuot-VKO'!D50/7/$O$5*100,0)</f>
        <v>0</v>
      </c>
      <c r="T49" s="93">
        <f t="shared" si="40"/>
        <v>88.7</v>
      </c>
      <c r="U49" s="94">
        <f t="shared" si="28"/>
        <v>0</v>
      </c>
      <c r="V49" s="93">
        <f t="shared" si="29"/>
        <v>220.136</v>
      </c>
      <c r="W49" s="245">
        <f t="shared" si="41"/>
        <v>85.373999999999995</v>
      </c>
      <c r="X49" s="245">
        <f t="shared" si="42"/>
        <v>9.1800000000000068</v>
      </c>
      <c r="Y49" s="243">
        <f t="shared" si="30"/>
        <v>0</v>
      </c>
      <c r="Z49" s="243">
        <f t="shared" si="31"/>
        <v>6.2090000000000032</v>
      </c>
      <c r="AA49" s="243">
        <f t="shared" si="32"/>
        <v>0</v>
      </c>
      <c r="AB49" s="243" t="str">
        <f t="shared" si="10"/>
        <v/>
      </c>
      <c r="AC49" s="243" t="str">
        <f t="shared" si="25"/>
        <v/>
      </c>
      <c r="AD49" s="243">
        <f t="shared" si="34"/>
        <v>0</v>
      </c>
      <c r="AE49" s="243">
        <f t="shared" si="35"/>
        <v>100</v>
      </c>
      <c r="AF49" s="243">
        <f t="shared" si="36"/>
        <v>0</v>
      </c>
      <c r="AG49" s="243">
        <f t="shared" si="37"/>
        <v>0</v>
      </c>
      <c r="AH49" s="241">
        <v>91.8</v>
      </c>
      <c r="AI49" s="241">
        <v>93.8</v>
      </c>
      <c r="AJ49" s="241">
        <v>93.1</v>
      </c>
      <c r="AK49" s="241">
        <v>95.2</v>
      </c>
      <c r="AL49" s="241">
        <v>65.099999999999994</v>
      </c>
      <c r="AM49" s="241">
        <v>64</v>
      </c>
      <c r="AN49" s="241">
        <v>63.2</v>
      </c>
      <c r="AO49" s="241">
        <v>62.7</v>
      </c>
      <c r="AP49" s="241">
        <v>88.7</v>
      </c>
      <c r="AQ49" s="241">
        <v>89.8</v>
      </c>
      <c r="AR49" s="241">
        <v>90.1</v>
      </c>
      <c r="AS49" s="241">
        <v>91.2</v>
      </c>
    </row>
    <row r="50" spans="1:45" x14ac:dyDescent="0.25">
      <c r="A50" s="100">
        <v>55</v>
      </c>
      <c r="B50" s="101">
        <f>IF(('tuot-VKO'!$J$5&gt;0),$O$5-SUM('tuot-VKO'!$C$11:'tuot-VKO'!C51), )</f>
        <v>9990</v>
      </c>
      <c r="C50" s="102">
        <f>IF(('tuot-VKO'!$J$5&gt;0),100-(SUM('tuot-VKO'!C$11:C51))/$O$5*100, )</f>
        <v>100</v>
      </c>
      <c r="D50" s="103">
        <f t="shared" si="21"/>
        <v>96.498905908096276</v>
      </c>
      <c r="E50" s="104">
        <f>IF(('tuot-VKO'!$J$5&gt;0),('tuot-VKO'!D51+'tuot-VKO'!E51)/7/B50*100, )</f>
        <v>0</v>
      </c>
      <c r="F50" s="105">
        <f>IF(('tuot-VKO'!$J$5&gt;0),'tuot-VKO'!D51/7/B50*100, )</f>
        <v>0</v>
      </c>
      <c r="G50" s="103">
        <f t="shared" si="38"/>
        <v>91.4</v>
      </c>
      <c r="H50" s="102">
        <f t="shared" si="26"/>
        <v>0</v>
      </c>
      <c r="I50" s="103">
        <f t="shared" si="27"/>
        <v>230.38399999999996</v>
      </c>
      <c r="J50" s="104">
        <f>IF('tuot-VKO'!F51&gt;0,'tuot-VKO'!F51,J49)</f>
        <v>0</v>
      </c>
      <c r="K50" s="106">
        <f t="shared" si="39"/>
        <v>65.2</v>
      </c>
      <c r="L50" s="102">
        <f>IF(U50&lt;&gt;0,SUMPRODUCT(($J$10:J50)*($Y$10:Y50)/U50),0)</f>
        <v>0</v>
      </c>
      <c r="M50" s="103">
        <f>IF(V50&lt;&gt;0,SUMPRODUCT(($K$10:K50)*($Z$10:Z50)/V50),0)</f>
        <v>61.278385400556765</v>
      </c>
      <c r="N50" s="101">
        <f t="shared" si="23"/>
        <v>0</v>
      </c>
      <c r="O50" s="107">
        <f t="shared" si="24"/>
        <v>400</v>
      </c>
      <c r="P50" s="108">
        <f t="shared" si="33"/>
        <v>0</v>
      </c>
      <c r="Q50" s="109">
        <f t="shared" si="33"/>
        <v>13.830000000000004</v>
      </c>
      <c r="R50" s="104">
        <f>IF(('tuot-VKO'!$J$5&gt;0),('tuot-VKO'!D51+'tuot-VKO'!E51)/7/$O$5*100,0)</f>
        <v>0</v>
      </c>
      <c r="S50" s="105">
        <f>IF(('tuot-VKO'!$J$5&gt;0),'tuot-VKO'!D51/7/$O$5*100,0)</f>
        <v>0</v>
      </c>
      <c r="T50" s="103">
        <f t="shared" si="40"/>
        <v>88.2</v>
      </c>
      <c r="U50" s="104">
        <f t="shared" si="28"/>
        <v>0</v>
      </c>
      <c r="V50" s="103">
        <f t="shared" si="29"/>
        <v>226.31</v>
      </c>
      <c r="W50" s="245">
        <f t="shared" si="41"/>
        <v>85.00200000000001</v>
      </c>
      <c r="X50" s="245">
        <f t="shared" si="42"/>
        <v>9.14</v>
      </c>
      <c r="Y50" s="243">
        <f t="shared" si="30"/>
        <v>0</v>
      </c>
      <c r="Z50" s="243">
        <f t="shared" si="31"/>
        <v>6.1740000000000066</v>
      </c>
      <c r="AA50" s="243">
        <f t="shared" si="32"/>
        <v>0</v>
      </c>
      <c r="AB50" s="243" t="str">
        <f t="shared" si="10"/>
        <v/>
      </c>
      <c r="AC50" s="243" t="str">
        <f t="shared" si="25"/>
        <v/>
      </c>
      <c r="AD50" s="243">
        <f t="shared" si="34"/>
        <v>0</v>
      </c>
      <c r="AE50" s="243">
        <f t="shared" si="35"/>
        <v>100</v>
      </c>
      <c r="AF50" s="243">
        <f t="shared" si="36"/>
        <v>0</v>
      </c>
      <c r="AG50" s="243">
        <f t="shared" si="37"/>
        <v>0</v>
      </c>
      <c r="AH50" s="241">
        <v>91.4</v>
      </c>
      <c r="AI50" s="241">
        <v>93.5</v>
      </c>
      <c r="AJ50" s="241">
        <v>92.8</v>
      </c>
      <c r="AK50" s="241">
        <v>94.9</v>
      </c>
      <c r="AL50" s="241">
        <v>65.2</v>
      </c>
      <c r="AM50" s="241">
        <v>64.099999999999994</v>
      </c>
      <c r="AN50" s="241">
        <v>63.3</v>
      </c>
      <c r="AO50" s="241">
        <v>62.8</v>
      </c>
      <c r="AP50" s="241">
        <v>88.2</v>
      </c>
      <c r="AQ50" s="241">
        <v>89.4</v>
      </c>
      <c r="AR50" s="241">
        <v>89.6</v>
      </c>
      <c r="AS50" s="241">
        <v>90.8</v>
      </c>
    </row>
    <row r="51" spans="1:45" x14ac:dyDescent="0.25">
      <c r="A51" s="81">
        <v>56</v>
      </c>
      <c r="B51" s="91">
        <f>IF(('tuot-VKO'!$J$5&gt;0),$O$5-SUM('tuot-VKO'!$C$11:'tuot-VKO'!C52), )</f>
        <v>9990</v>
      </c>
      <c r="C51" s="92">
        <f>IF(('tuot-VKO'!$J$5&gt;0),100-(SUM('tuot-VKO'!C$11:C52))/$O$5*100, )</f>
        <v>100</v>
      </c>
      <c r="D51" s="93">
        <f t="shared" si="21"/>
        <v>96.483516483516482</v>
      </c>
      <c r="E51" s="94">
        <f>IF(('tuot-VKO'!$J$5&gt;0),('tuot-VKO'!D52+'tuot-VKO'!E52)/7/B51*100, )</f>
        <v>0</v>
      </c>
      <c r="F51" s="95">
        <f>IF(('tuot-VKO'!$J$5&gt;0),'tuot-VKO'!D52/7/B51*100, )</f>
        <v>0</v>
      </c>
      <c r="G51" s="93">
        <f t="shared" si="38"/>
        <v>91</v>
      </c>
      <c r="H51" s="92">
        <f t="shared" si="26"/>
        <v>0</v>
      </c>
      <c r="I51" s="93">
        <f t="shared" si="27"/>
        <v>236.75399999999996</v>
      </c>
      <c r="J51" s="94">
        <f>IF('tuot-VKO'!F52&gt;0,'tuot-VKO'!F52,J50)</f>
        <v>0</v>
      </c>
      <c r="K51" s="96">
        <f t="shared" si="39"/>
        <v>65.3</v>
      </c>
      <c r="L51" s="92">
        <f>IF(U51&lt;&gt;0,SUMPRODUCT(($J$10:J51)*($Y$10:Y51)/U51),0)</f>
        <v>0</v>
      </c>
      <c r="M51" s="93">
        <f>IF(V51&lt;&gt;0,SUMPRODUCT(($K$10:K51)*($Z$10:Z51)/V51),0)</f>
        <v>61.384714526620087</v>
      </c>
      <c r="N51" s="91">
        <f t="shared" si="23"/>
        <v>0</v>
      </c>
      <c r="O51" s="97">
        <f t="shared" si="24"/>
        <v>400</v>
      </c>
      <c r="P51" s="98">
        <f t="shared" si="33"/>
        <v>0</v>
      </c>
      <c r="Q51" s="99">
        <f t="shared" si="33"/>
        <v>14.230000000000004</v>
      </c>
      <c r="R51" s="94">
        <f>IF(('tuot-VKO'!$J$5&gt;0),('tuot-VKO'!D52+'tuot-VKO'!E52)/7/$O$5*100,0)</f>
        <v>0</v>
      </c>
      <c r="S51" s="95">
        <f>IF(('tuot-VKO'!$J$5&gt;0),'tuot-VKO'!D52/7/$O$5*100,0)</f>
        <v>0</v>
      </c>
      <c r="T51" s="93">
        <f t="shared" si="40"/>
        <v>87.8</v>
      </c>
      <c r="U51" s="94">
        <f t="shared" si="28"/>
        <v>0</v>
      </c>
      <c r="V51" s="93">
        <f t="shared" si="29"/>
        <v>232.45599999999999</v>
      </c>
      <c r="W51" s="245">
        <f t="shared" si="41"/>
        <v>84.63</v>
      </c>
      <c r="X51" s="245">
        <f t="shared" si="42"/>
        <v>9.1000000000000085</v>
      </c>
      <c r="Y51" s="243">
        <f t="shared" si="30"/>
        <v>0</v>
      </c>
      <c r="Z51" s="243">
        <f t="shared" si="31"/>
        <v>6.1459999999999866</v>
      </c>
      <c r="AA51" s="243">
        <f t="shared" si="32"/>
        <v>0</v>
      </c>
      <c r="AB51" s="243" t="str">
        <f t="shared" si="10"/>
        <v/>
      </c>
      <c r="AC51" s="243" t="str">
        <f t="shared" si="25"/>
        <v/>
      </c>
      <c r="AD51" s="243">
        <f t="shared" si="34"/>
        <v>0</v>
      </c>
      <c r="AE51" s="243">
        <f t="shared" si="35"/>
        <v>100</v>
      </c>
      <c r="AF51" s="243">
        <f t="shared" si="36"/>
        <v>0</v>
      </c>
      <c r="AG51" s="243">
        <f t="shared" si="37"/>
        <v>0</v>
      </c>
      <c r="AH51" s="241">
        <v>91</v>
      </c>
      <c r="AI51" s="241">
        <v>93.1</v>
      </c>
      <c r="AJ51" s="241">
        <v>92.4</v>
      </c>
      <c r="AK51" s="241">
        <v>94.7</v>
      </c>
      <c r="AL51" s="241">
        <v>65.3</v>
      </c>
      <c r="AM51" s="241">
        <v>64.2</v>
      </c>
      <c r="AN51" s="241">
        <v>63.4</v>
      </c>
      <c r="AO51" s="241">
        <v>62.9</v>
      </c>
      <c r="AP51" s="241">
        <v>87.8</v>
      </c>
      <c r="AQ51" s="241">
        <v>88.9</v>
      </c>
      <c r="AR51" s="241">
        <v>89.2</v>
      </c>
      <c r="AS51" s="241">
        <v>90.4</v>
      </c>
    </row>
    <row r="52" spans="1:45" x14ac:dyDescent="0.25">
      <c r="A52" s="81">
        <v>57</v>
      </c>
      <c r="B52" s="91">
        <f>IF(('tuot-VKO'!$J$5&gt;0),$O$5-SUM('tuot-VKO'!$C$11:'tuot-VKO'!C53), )</f>
        <v>9990</v>
      </c>
      <c r="C52" s="92">
        <f>IF(('tuot-VKO'!$J$5&gt;0),100-(SUM('tuot-VKO'!C$11:C53))/$O$5*100, )</f>
        <v>100</v>
      </c>
      <c r="D52" s="93">
        <f t="shared" si="21"/>
        <v>96.357615894039739</v>
      </c>
      <c r="E52" s="94">
        <f>IF(('tuot-VKO'!$J$5&gt;0),('tuot-VKO'!D53+'tuot-VKO'!E53)/7/B52*100, )</f>
        <v>0</v>
      </c>
      <c r="F52" s="95">
        <f>IF(('tuot-VKO'!$J$5&gt;0),'tuot-VKO'!D53/7/B52*100, )</f>
        <v>0</v>
      </c>
      <c r="G52" s="93">
        <f t="shared" si="38"/>
        <v>90.6</v>
      </c>
      <c r="H52" s="92">
        <f t="shared" si="26"/>
        <v>0</v>
      </c>
      <c r="I52" s="93">
        <f t="shared" si="27"/>
        <v>243.09599999999998</v>
      </c>
      <c r="J52" s="94">
        <f>IF('tuot-VKO'!F53&gt;0,'tuot-VKO'!F53,J51)</f>
        <v>0</v>
      </c>
      <c r="K52" s="96">
        <f t="shared" si="39"/>
        <v>65.400000000000006</v>
      </c>
      <c r="L52" s="92">
        <f>IF(U52&lt;&gt;0,SUMPRODUCT(($J$10:J52)*($Y$10:Y52)/U52),0)</f>
        <v>0</v>
      </c>
      <c r="M52" s="93">
        <f>IF(V52&lt;&gt;0,SUMPRODUCT(($K$10:K52)*($Z$10:Z52)/V52),0)</f>
        <v>61.487567853055971</v>
      </c>
      <c r="N52" s="91">
        <f t="shared" si="23"/>
        <v>0</v>
      </c>
      <c r="O52" s="97">
        <f t="shared" si="24"/>
        <v>400</v>
      </c>
      <c r="P52" s="98">
        <f t="shared" si="33"/>
        <v>0</v>
      </c>
      <c r="Q52" s="99">
        <f t="shared" si="33"/>
        <v>14.630000000000004</v>
      </c>
      <c r="R52" s="94">
        <f>IF(('tuot-VKO'!$J$5&gt;0),('tuot-VKO'!D53+'tuot-VKO'!E53)/7/$O$5*100,0)</f>
        <v>0</v>
      </c>
      <c r="S52" s="95">
        <f>IF(('tuot-VKO'!$J$5&gt;0),'tuot-VKO'!D53/7/$O$5*100,0)</f>
        <v>0</v>
      </c>
      <c r="T52" s="93">
        <f t="shared" si="40"/>
        <v>87.3</v>
      </c>
      <c r="U52" s="94">
        <f t="shared" si="28"/>
        <v>0</v>
      </c>
      <c r="V52" s="93">
        <f t="shared" si="29"/>
        <v>238.56699999999998</v>
      </c>
      <c r="W52" s="245">
        <f t="shared" si="41"/>
        <v>84.257999999999996</v>
      </c>
      <c r="X52" s="245">
        <f t="shared" si="42"/>
        <v>9.0600000000000023</v>
      </c>
      <c r="Y52" s="243">
        <f t="shared" si="30"/>
        <v>0</v>
      </c>
      <c r="Z52" s="243">
        <f t="shared" si="31"/>
        <v>6.11099999999999</v>
      </c>
      <c r="AA52" s="243">
        <f t="shared" si="32"/>
        <v>0</v>
      </c>
      <c r="AB52" s="243" t="str">
        <f t="shared" si="10"/>
        <v/>
      </c>
      <c r="AC52" s="243" t="str">
        <f t="shared" si="25"/>
        <v/>
      </c>
      <c r="AD52" s="243">
        <f t="shared" si="34"/>
        <v>0</v>
      </c>
      <c r="AE52" s="243">
        <f t="shared" si="35"/>
        <v>100</v>
      </c>
      <c r="AF52" s="243">
        <f t="shared" si="36"/>
        <v>0</v>
      </c>
      <c r="AG52" s="243">
        <f t="shared" si="37"/>
        <v>0</v>
      </c>
      <c r="AH52" s="241">
        <v>90.6</v>
      </c>
      <c r="AI52" s="241">
        <v>92.8</v>
      </c>
      <c r="AJ52" s="241">
        <v>92.1</v>
      </c>
      <c r="AK52" s="241">
        <v>94.3</v>
      </c>
      <c r="AL52" s="241">
        <v>65.400000000000006</v>
      </c>
      <c r="AM52" s="241">
        <v>64.3</v>
      </c>
      <c r="AN52" s="241">
        <v>63.5</v>
      </c>
      <c r="AO52" s="241">
        <v>63</v>
      </c>
      <c r="AP52" s="241">
        <v>87.3</v>
      </c>
      <c r="AQ52" s="241">
        <v>88.5</v>
      </c>
      <c r="AR52" s="241">
        <v>88.7</v>
      </c>
      <c r="AS52" s="241">
        <v>89.9</v>
      </c>
    </row>
    <row r="53" spans="1:45" x14ac:dyDescent="0.25">
      <c r="A53" s="81">
        <v>58</v>
      </c>
      <c r="B53" s="91">
        <f>IF(('tuot-VKO'!$J$5&gt;0),$O$5-SUM('tuot-VKO'!$C$11:'tuot-VKO'!C54), )</f>
        <v>9990</v>
      </c>
      <c r="C53" s="92">
        <f>IF(('tuot-VKO'!$J$5&gt;0),100-(SUM('tuot-VKO'!C$11:C54))/$O$5*100, )</f>
        <v>100</v>
      </c>
      <c r="D53" s="93">
        <f t="shared" si="21"/>
        <v>96.230598669623063</v>
      </c>
      <c r="E53" s="94">
        <f>IF(('tuot-VKO'!$J$5&gt;0),('tuot-VKO'!D54+'tuot-VKO'!E54)/7/B53*100, )</f>
        <v>0</v>
      </c>
      <c r="F53" s="95">
        <f>IF(('tuot-VKO'!$J$5&gt;0),'tuot-VKO'!D54/7/B53*100, )</f>
        <v>0</v>
      </c>
      <c r="G53" s="93">
        <f t="shared" si="38"/>
        <v>90.2</v>
      </c>
      <c r="H53" s="92">
        <f t="shared" si="26"/>
        <v>0</v>
      </c>
      <c r="I53" s="93">
        <f t="shared" si="27"/>
        <v>249.40999999999997</v>
      </c>
      <c r="J53" s="94">
        <f>IF('tuot-VKO'!F54&gt;0,'tuot-VKO'!F54,J52)</f>
        <v>0</v>
      </c>
      <c r="K53" s="96">
        <f t="shared" si="39"/>
        <v>65.5</v>
      </c>
      <c r="L53" s="92">
        <f>IF(U53&lt;&gt;0,SUMPRODUCT(($J$10:J53)*($Y$10:Y53)/U53),0)</f>
        <v>0</v>
      </c>
      <c r="M53" s="93">
        <f>IF(V53&lt;&gt;0,SUMPRODUCT(($K$10:K53)*($Z$10:Z53)/V53),0)</f>
        <v>61.587221379724738</v>
      </c>
      <c r="N53" s="91">
        <f t="shared" si="23"/>
        <v>0</v>
      </c>
      <c r="O53" s="97">
        <f t="shared" si="24"/>
        <v>400</v>
      </c>
      <c r="P53" s="98">
        <f t="shared" si="33"/>
        <v>0</v>
      </c>
      <c r="Q53" s="99">
        <f t="shared" si="33"/>
        <v>15.030000000000005</v>
      </c>
      <c r="R53" s="94">
        <f>IF(('tuot-VKO'!$J$5&gt;0),('tuot-VKO'!D54+'tuot-VKO'!E54)/7/$O$5*100,0)</f>
        <v>0</v>
      </c>
      <c r="S53" s="95">
        <f>IF(('tuot-VKO'!$J$5&gt;0),'tuot-VKO'!D54/7/$O$5*100,0)</f>
        <v>0</v>
      </c>
      <c r="T53" s="93">
        <f t="shared" si="40"/>
        <v>86.8</v>
      </c>
      <c r="U53" s="94">
        <f t="shared" si="28"/>
        <v>0</v>
      </c>
      <c r="V53" s="93">
        <f t="shared" si="29"/>
        <v>244.64299999999997</v>
      </c>
      <c r="W53" s="245">
        <f t="shared" si="41"/>
        <v>83.885999999999996</v>
      </c>
      <c r="X53" s="245">
        <f t="shared" si="42"/>
        <v>9.0200000000000102</v>
      </c>
      <c r="Y53" s="243">
        <f t="shared" si="30"/>
        <v>0</v>
      </c>
      <c r="Z53" s="243">
        <f t="shared" si="31"/>
        <v>6.0759999999999934</v>
      </c>
      <c r="AA53" s="243">
        <f t="shared" si="32"/>
        <v>0</v>
      </c>
      <c r="AB53" s="243" t="str">
        <f t="shared" si="10"/>
        <v/>
      </c>
      <c r="AC53" s="243" t="str">
        <f t="shared" si="25"/>
        <v/>
      </c>
      <c r="AD53" s="243">
        <f t="shared" si="34"/>
        <v>0</v>
      </c>
      <c r="AE53" s="243">
        <f t="shared" si="35"/>
        <v>100</v>
      </c>
      <c r="AF53" s="243">
        <f t="shared" si="36"/>
        <v>0</v>
      </c>
      <c r="AG53" s="243">
        <f t="shared" si="37"/>
        <v>0</v>
      </c>
      <c r="AH53" s="241">
        <v>90.2</v>
      </c>
      <c r="AI53" s="241">
        <v>92.4</v>
      </c>
      <c r="AJ53" s="241">
        <v>91.8</v>
      </c>
      <c r="AK53" s="241">
        <v>94</v>
      </c>
      <c r="AL53" s="241">
        <v>65.5</v>
      </c>
      <c r="AM53" s="241">
        <v>64.400000000000006</v>
      </c>
      <c r="AN53" s="241">
        <v>63.5</v>
      </c>
      <c r="AO53" s="241">
        <v>63.1</v>
      </c>
      <c r="AP53" s="241">
        <v>86.8</v>
      </c>
      <c r="AQ53" s="241">
        <v>88</v>
      </c>
      <c r="AR53" s="241">
        <v>88.3</v>
      </c>
      <c r="AS53" s="241">
        <v>89.5</v>
      </c>
    </row>
    <row r="54" spans="1:45" x14ac:dyDescent="0.25">
      <c r="A54" s="81">
        <v>59</v>
      </c>
      <c r="B54" s="91">
        <f>IF(('tuot-VKO'!$J$5&gt;0),$O$5-SUM('tuot-VKO'!$C$11:'tuot-VKO'!C55), )</f>
        <v>9990</v>
      </c>
      <c r="C54" s="92">
        <f>IF(('tuot-VKO'!$J$5&gt;0),100-(SUM('tuot-VKO'!C$11:C55))/$O$5*100, )</f>
        <v>100</v>
      </c>
      <c r="D54" s="93">
        <f t="shared" si="21"/>
        <v>96.102449888641431</v>
      </c>
      <c r="E54" s="94">
        <f>IF(('tuot-VKO'!$J$5&gt;0),('tuot-VKO'!D55+'tuot-VKO'!E55)/7/B54*100, )</f>
        <v>0</v>
      </c>
      <c r="F54" s="95">
        <f>IF(('tuot-VKO'!$J$5&gt;0),'tuot-VKO'!D55/7/B54*100, )</f>
        <v>0</v>
      </c>
      <c r="G54" s="93">
        <f t="shared" si="38"/>
        <v>89.8</v>
      </c>
      <c r="H54" s="92">
        <f t="shared" si="26"/>
        <v>0</v>
      </c>
      <c r="I54" s="93">
        <f t="shared" si="27"/>
        <v>255.69599999999997</v>
      </c>
      <c r="J54" s="94">
        <f>IF('tuot-VKO'!F55&gt;0,'tuot-VKO'!F55,J53)</f>
        <v>0</v>
      </c>
      <c r="K54" s="96">
        <f t="shared" si="39"/>
        <v>65.5</v>
      </c>
      <c r="L54" s="92">
        <f>IF(U54&lt;&gt;0,SUMPRODUCT(($J$10:J54)*($Y$10:Y54)/U54),0)</f>
        <v>0</v>
      </c>
      <c r="M54" s="93">
        <f>IF(V54&lt;&gt;0,SUMPRODUCT(($K$10:K54)*($Z$10:Z54)/V54),0)</f>
        <v>61.681511783759625</v>
      </c>
      <c r="N54" s="91">
        <f t="shared" si="23"/>
        <v>0</v>
      </c>
      <c r="O54" s="97">
        <f t="shared" si="24"/>
        <v>400</v>
      </c>
      <c r="P54" s="98">
        <f t="shared" si="33"/>
        <v>0</v>
      </c>
      <c r="Q54" s="99">
        <f t="shared" si="33"/>
        <v>15.430000000000005</v>
      </c>
      <c r="R54" s="94">
        <f>IF(('tuot-VKO'!$J$5&gt;0),('tuot-VKO'!D55+'tuot-VKO'!E55)/7/$O$5*100,0)</f>
        <v>0</v>
      </c>
      <c r="S54" s="95">
        <f>IF(('tuot-VKO'!$J$5&gt;0),'tuot-VKO'!D55/7/$O$5*100,0)</f>
        <v>0</v>
      </c>
      <c r="T54" s="93">
        <f t="shared" si="40"/>
        <v>86.3</v>
      </c>
      <c r="U54" s="94">
        <f t="shared" si="28"/>
        <v>0</v>
      </c>
      <c r="V54" s="93">
        <f t="shared" si="29"/>
        <v>250.68399999999997</v>
      </c>
      <c r="W54" s="245">
        <f t="shared" si="41"/>
        <v>83.513999999999996</v>
      </c>
      <c r="X54" s="245">
        <f t="shared" si="42"/>
        <v>8.980000000000004</v>
      </c>
      <c r="Y54" s="243">
        <f t="shared" si="30"/>
        <v>0</v>
      </c>
      <c r="Z54" s="243">
        <f t="shared" si="31"/>
        <v>6.0409999999999968</v>
      </c>
      <c r="AA54" s="243">
        <f t="shared" si="32"/>
        <v>0</v>
      </c>
      <c r="AB54" s="243" t="str">
        <f t="shared" si="10"/>
        <v/>
      </c>
      <c r="AC54" s="243" t="str">
        <f t="shared" si="25"/>
        <v/>
      </c>
      <c r="AD54" s="243">
        <f t="shared" si="34"/>
        <v>0</v>
      </c>
      <c r="AE54" s="243">
        <f t="shared" si="35"/>
        <v>100</v>
      </c>
      <c r="AF54" s="243">
        <f t="shared" si="36"/>
        <v>0</v>
      </c>
      <c r="AG54" s="243">
        <f t="shared" si="37"/>
        <v>0</v>
      </c>
      <c r="AH54" s="241">
        <v>89.8</v>
      </c>
      <c r="AI54" s="241">
        <v>92.1</v>
      </c>
      <c r="AJ54" s="241">
        <v>91.5</v>
      </c>
      <c r="AK54" s="241">
        <v>93.7</v>
      </c>
      <c r="AL54" s="241">
        <v>65.5</v>
      </c>
      <c r="AM54" s="241">
        <v>64.5</v>
      </c>
      <c r="AN54" s="241">
        <v>63.6</v>
      </c>
      <c r="AO54" s="241">
        <v>63.1</v>
      </c>
      <c r="AP54" s="241">
        <v>86.3</v>
      </c>
      <c r="AQ54" s="241">
        <v>87.5</v>
      </c>
      <c r="AR54" s="241">
        <v>87.8</v>
      </c>
      <c r="AS54" s="241">
        <v>89</v>
      </c>
    </row>
    <row r="55" spans="1:45" x14ac:dyDescent="0.25">
      <c r="A55" s="100">
        <v>60</v>
      </c>
      <c r="B55" s="101">
        <f>IF(('tuot-VKO'!$J$5&gt;0),$O$5-SUM('tuot-VKO'!$C$11:'tuot-VKO'!C56), )</f>
        <v>9990</v>
      </c>
      <c r="C55" s="102">
        <f>IF(('tuot-VKO'!$J$5&gt;0),100-(SUM('tuot-VKO'!C$11:C56))/$O$5*100, )</f>
        <v>100</v>
      </c>
      <c r="D55" s="103">
        <f t="shared" si="21"/>
        <v>95.968645016797311</v>
      </c>
      <c r="E55" s="104">
        <f>IF(('tuot-VKO'!$J$5&gt;0),('tuot-VKO'!D56+'tuot-VKO'!E56)/7/B55*100, )</f>
        <v>0</v>
      </c>
      <c r="F55" s="105">
        <f>IF(('tuot-VKO'!$J$5&gt;0),'tuot-VKO'!D56/7/B55*100, )</f>
        <v>0</v>
      </c>
      <c r="G55" s="103">
        <f t="shared" si="38"/>
        <v>89.3</v>
      </c>
      <c r="H55" s="102">
        <f t="shared" si="26"/>
        <v>0</v>
      </c>
      <c r="I55" s="103">
        <f t="shared" si="27"/>
        <v>261.94699999999995</v>
      </c>
      <c r="J55" s="104">
        <f>IF('tuot-VKO'!F56&gt;0,'tuot-VKO'!F56,J54)</f>
        <v>0</v>
      </c>
      <c r="K55" s="106">
        <f t="shared" si="39"/>
        <v>65.5</v>
      </c>
      <c r="L55" s="102">
        <f>IF(U55&lt;&gt;0,SUMPRODUCT(($J$10:J55)*($Y$10:Y55)/U55),0)</f>
        <v>0</v>
      </c>
      <c r="M55" s="103">
        <f>IF(V55&lt;&gt;0,SUMPRODUCT(($K$10:K55)*($Z$10:Z55)/V55),0)</f>
        <v>61.770754588344388</v>
      </c>
      <c r="N55" s="101">
        <f t="shared" si="23"/>
        <v>0</v>
      </c>
      <c r="O55" s="107">
        <f t="shared" si="24"/>
        <v>390</v>
      </c>
      <c r="P55" s="108">
        <f t="shared" si="33"/>
        <v>0</v>
      </c>
      <c r="Q55" s="109">
        <f t="shared" si="33"/>
        <v>15.820000000000006</v>
      </c>
      <c r="R55" s="104">
        <f>IF(('tuot-VKO'!$J$5&gt;0),('tuot-VKO'!D56+'tuot-VKO'!E56)/7/$O$5*100,0)</f>
        <v>0</v>
      </c>
      <c r="S55" s="105">
        <f>IF(('tuot-VKO'!$J$5&gt;0),'tuot-VKO'!D56/7/$O$5*100,0)</f>
        <v>0</v>
      </c>
      <c r="T55" s="103">
        <f t="shared" si="40"/>
        <v>85.7</v>
      </c>
      <c r="U55" s="104">
        <f t="shared" si="28"/>
        <v>0</v>
      </c>
      <c r="V55" s="103">
        <f t="shared" si="29"/>
        <v>256.68299999999999</v>
      </c>
      <c r="W55" s="245">
        <f t="shared" si="41"/>
        <v>83.048999999999992</v>
      </c>
      <c r="X55" s="245">
        <f t="shared" si="42"/>
        <v>8.9300000000000068</v>
      </c>
      <c r="Y55" s="243">
        <f t="shared" si="30"/>
        <v>0</v>
      </c>
      <c r="Z55" s="243">
        <f t="shared" si="31"/>
        <v>5.9990000000000236</v>
      </c>
      <c r="AA55" s="243">
        <f t="shared" si="32"/>
        <v>0</v>
      </c>
      <c r="AB55" s="243" t="str">
        <f t="shared" si="10"/>
        <v/>
      </c>
      <c r="AC55" s="243" t="str">
        <f t="shared" si="25"/>
        <v/>
      </c>
      <c r="AD55" s="243">
        <f t="shared" si="34"/>
        <v>0</v>
      </c>
      <c r="AE55" s="243">
        <f t="shared" si="35"/>
        <v>100</v>
      </c>
      <c r="AF55" s="243">
        <f t="shared" si="36"/>
        <v>0</v>
      </c>
      <c r="AG55" s="243">
        <f t="shared" si="37"/>
        <v>0</v>
      </c>
      <c r="AH55" s="241">
        <v>89.3</v>
      </c>
      <c r="AI55" s="241">
        <v>91.7</v>
      </c>
      <c r="AJ55" s="241">
        <v>91.1</v>
      </c>
      <c r="AK55" s="241">
        <v>93.4</v>
      </c>
      <c r="AL55" s="241">
        <v>65.5</v>
      </c>
      <c r="AM55" s="241">
        <v>64.599999999999994</v>
      </c>
      <c r="AN55" s="241">
        <v>63.6</v>
      </c>
      <c r="AO55" s="241">
        <v>63.2</v>
      </c>
      <c r="AP55" s="241">
        <v>85.7</v>
      </c>
      <c r="AQ55" s="241">
        <v>87</v>
      </c>
      <c r="AR55" s="241">
        <v>87.3</v>
      </c>
      <c r="AS55" s="241">
        <v>88.6</v>
      </c>
    </row>
    <row r="56" spans="1:45" x14ac:dyDescent="0.25">
      <c r="A56" s="81">
        <v>61</v>
      </c>
      <c r="B56" s="91">
        <f>IF(('tuot-VKO'!$J$5&gt;0),$O$5-SUM('tuot-VKO'!$C$11:'tuot-VKO'!C57), )</f>
        <v>9990</v>
      </c>
      <c r="C56" s="92">
        <f>IF(('tuot-VKO'!$J$5&gt;0),100-(SUM('tuot-VKO'!C$11:C57))/$O$5*100, )</f>
        <v>100</v>
      </c>
      <c r="D56" s="93">
        <f t="shared" si="21"/>
        <v>95.945945945945951</v>
      </c>
      <c r="E56" s="94">
        <f>IF(('tuot-VKO'!$J$5&gt;0),('tuot-VKO'!D57+'tuot-VKO'!E57)/7/B56*100, )</f>
        <v>0</v>
      </c>
      <c r="F56" s="95">
        <f>IF(('tuot-VKO'!$J$5&gt;0),'tuot-VKO'!D57/7/B56*100, )</f>
        <v>0</v>
      </c>
      <c r="G56" s="93">
        <f t="shared" si="38"/>
        <v>88.8</v>
      </c>
      <c r="H56" s="92">
        <f t="shared" si="26"/>
        <v>0</v>
      </c>
      <c r="I56" s="93">
        <f t="shared" si="27"/>
        <v>268.16299999999995</v>
      </c>
      <c r="J56" s="94">
        <f>IF('tuot-VKO'!F57&gt;0,'tuot-VKO'!F57,J55)</f>
        <v>0</v>
      </c>
      <c r="K56" s="96">
        <f t="shared" si="39"/>
        <v>65.599999999999994</v>
      </c>
      <c r="L56" s="92">
        <f>IF(U56&lt;&gt;0,SUMPRODUCT(($J$10:J56)*($Y$10:Y56)/U56),0)</f>
        <v>0</v>
      </c>
      <c r="M56" s="93">
        <f>IF(V56&lt;&gt;0,SUMPRODUCT(($K$10:K56)*($Z$10:Z56)/V56),0)</f>
        <v>61.85770635111006</v>
      </c>
      <c r="N56" s="91">
        <f t="shared" si="23"/>
        <v>0</v>
      </c>
      <c r="O56" s="97">
        <f t="shared" si="24"/>
        <v>390</v>
      </c>
      <c r="P56" s="98">
        <f t="shared" si="33"/>
        <v>0</v>
      </c>
      <c r="Q56" s="99">
        <f t="shared" si="33"/>
        <v>16.210000000000004</v>
      </c>
      <c r="R56" s="94">
        <f>IF(('tuot-VKO'!$J$5&gt;0),('tuot-VKO'!D57+'tuot-VKO'!E57)/7/$O$5*100,0)</f>
        <v>0</v>
      </c>
      <c r="S56" s="95">
        <f>IF(('tuot-VKO'!$J$5&gt;0),'tuot-VKO'!D57/7/$O$5*100,0)</f>
        <v>0</v>
      </c>
      <c r="T56" s="93">
        <f t="shared" si="40"/>
        <v>85.2</v>
      </c>
      <c r="U56" s="94">
        <f t="shared" si="28"/>
        <v>0</v>
      </c>
      <c r="V56" s="93">
        <f t="shared" si="29"/>
        <v>262.64699999999999</v>
      </c>
      <c r="W56" s="245">
        <f t="shared" si="41"/>
        <v>82.584000000000003</v>
      </c>
      <c r="X56" s="245">
        <f t="shared" si="42"/>
        <v>8.8799999999999955</v>
      </c>
      <c r="Y56" s="243">
        <f t="shared" si="30"/>
        <v>0</v>
      </c>
      <c r="Z56" s="243">
        <f t="shared" si="31"/>
        <v>5.9639999999999986</v>
      </c>
      <c r="AA56" s="243">
        <f t="shared" si="32"/>
        <v>0</v>
      </c>
      <c r="AB56" s="243" t="str">
        <f t="shared" si="10"/>
        <v/>
      </c>
      <c r="AC56" s="243" t="str">
        <f t="shared" si="25"/>
        <v/>
      </c>
      <c r="AD56" s="243">
        <f t="shared" si="34"/>
        <v>0</v>
      </c>
      <c r="AE56" s="243">
        <f t="shared" si="35"/>
        <v>100</v>
      </c>
      <c r="AF56" s="243">
        <f t="shared" si="36"/>
        <v>0</v>
      </c>
      <c r="AG56" s="243">
        <f t="shared" si="37"/>
        <v>0</v>
      </c>
      <c r="AH56" s="241">
        <v>88.8</v>
      </c>
      <c r="AI56" s="241">
        <v>91.3</v>
      </c>
      <c r="AJ56" s="241">
        <v>90.7</v>
      </c>
      <c r="AK56" s="241">
        <v>93</v>
      </c>
      <c r="AL56" s="241">
        <v>65.599999999999994</v>
      </c>
      <c r="AM56" s="241">
        <v>64.7</v>
      </c>
      <c r="AN56" s="241">
        <v>63.6</v>
      </c>
      <c r="AO56" s="241">
        <v>63.2</v>
      </c>
      <c r="AP56" s="241">
        <v>85.2</v>
      </c>
      <c r="AQ56" s="241">
        <v>86.4</v>
      </c>
      <c r="AR56" s="241">
        <v>86.8</v>
      </c>
      <c r="AS56" s="241">
        <v>88.1</v>
      </c>
    </row>
    <row r="57" spans="1:45" x14ac:dyDescent="0.25">
      <c r="A57" s="81">
        <v>62</v>
      </c>
      <c r="B57" s="91">
        <f>IF(('tuot-VKO'!$J$5&gt;0),$O$5-SUM('tuot-VKO'!$C$11:'tuot-VKO'!C58), )</f>
        <v>9990</v>
      </c>
      <c r="C57" s="92">
        <f>IF(('tuot-VKO'!$J$5&gt;0),100-(SUM('tuot-VKO'!C$11:C58))/$O$5*100, )</f>
        <v>100</v>
      </c>
      <c r="D57" s="93">
        <f t="shared" si="21"/>
        <v>95.809739524348799</v>
      </c>
      <c r="E57" s="94">
        <f>IF(('tuot-VKO'!$J$5&gt;0),('tuot-VKO'!D58+'tuot-VKO'!E58)/7/B57*100, )</f>
        <v>0</v>
      </c>
      <c r="F57" s="95">
        <f>IF(('tuot-VKO'!$J$5&gt;0),'tuot-VKO'!D58/7/B57*100, )</f>
        <v>0</v>
      </c>
      <c r="G57" s="93">
        <f t="shared" si="38"/>
        <v>88.3</v>
      </c>
      <c r="H57" s="92">
        <f t="shared" si="26"/>
        <v>0</v>
      </c>
      <c r="I57" s="93">
        <f t="shared" si="27"/>
        <v>274.34399999999994</v>
      </c>
      <c r="J57" s="94">
        <f>IF('tuot-VKO'!F58&gt;0,'tuot-VKO'!F58,J56)</f>
        <v>0</v>
      </c>
      <c r="K57" s="96">
        <f t="shared" si="39"/>
        <v>65.599999999999994</v>
      </c>
      <c r="L57" s="92">
        <f>IF(U57&lt;&gt;0,SUMPRODUCT(($J$10:J57)*($Y$10:Y57)/U57),0)</f>
        <v>0</v>
      </c>
      <c r="M57" s="93">
        <f>IF(V57&lt;&gt;0,SUMPRODUCT(($K$10:K57)*($Z$10:Z57)/V57),0)</f>
        <v>61.940224672244383</v>
      </c>
      <c r="N57" s="91">
        <f t="shared" si="23"/>
        <v>0</v>
      </c>
      <c r="O57" s="97">
        <f t="shared" si="24"/>
        <v>390</v>
      </c>
      <c r="P57" s="98">
        <f t="shared" si="33"/>
        <v>0</v>
      </c>
      <c r="Q57" s="99">
        <f t="shared" si="33"/>
        <v>16.600000000000005</v>
      </c>
      <c r="R57" s="94">
        <f>IF(('tuot-VKO'!$J$5&gt;0),('tuot-VKO'!D58+'tuot-VKO'!E58)/7/$O$5*100,0)</f>
        <v>0</v>
      </c>
      <c r="S57" s="95">
        <f>IF(('tuot-VKO'!$J$5&gt;0),'tuot-VKO'!D58/7/$O$5*100,0)</f>
        <v>0</v>
      </c>
      <c r="T57" s="93">
        <f t="shared" si="40"/>
        <v>84.6</v>
      </c>
      <c r="U57" s="94">
        <f t="shared" si="28"/>
        <v>0</v>
      </c>
      <c r="V57" s="93">
        <f t="shared" si="29"/>
        <v>268.56900000000002</v>
      </c>
      <c r="W57" s="245">
        <f t="shared" si="41"/>
        <v>82.119</v>
      </c>
      <c r="X57" s="245">
        <f t="shared" si="42"/>
        <v>8.8299999999999983</v>
      </c>
      <c r="Y57" s="243">
        <f t="shared" si="30"/>
        <v>0</v>
      </c>
      <c r="Z57" s="243">
        <f t="shared" si="31"/>
        <v>5.9220000000000255</v>
      </c>
      <c r="AA57" s="243">
        <f t="shared" si="32"/>
        <v>0</v>
      </c>
      <c r="AB57" s="243" t="str">
        <f t="shared" si="10"/>
        <v/>
      </c>
      <c r="AC57" s="243" t="str">
        <f t="shared" si="25"/>
        <v/>
      </c>
      <c r="AD57" s="243">
        <f t="shared" si="34"/>
        <v>0</v>
      </c>
      <c r="AE57" s="243">
        <f t="shared" si="35"/>
        <v>100</v>
      </c>
      <c r="AF57" s="243">
        <f t="shared" si="36"/>
        <v>0</v>
      </c>
      <c r="AG57" s="243">
        <f t="shared" si="37"/>
        <v>0</v>
      </c>
      <c r="AH57" s="241">
        <v>88.3</v>
      </c>
      <c r="AI57" s="241">
        <v>90.8</v>
      </c>
      <c r="AJ57" s="241">
        <v>90.3</v>
      </c>
      <c r="AK57" s="241">
        <v>92.6</v>
      </c>
      <c r="AL57" s="241">
        <v>65.599999999999994</v>
      </c>
      <c r="AM57" s="241">
        <v>64.8</v>
      </c>
      <c r="AN57" s="241">
        <v>63.7</v>
      </c>
      <c r="AO57" s="241">
        <v>63.2</v>
      </c>
      <c r="AP57" s="241">
        <v>84.6</v>
      </c>
      <c r="AQ57" s="241">
        <v>85.9</v>
      </c>
      <c r="AR57" s="241">
        <v>86.3</v>
      </c>
      <c r="AS57" s="241">
        <v>87.6</v>
      </c>
    </row>
    <row r="58" spans="1:45" x14ac:dyDescent="0.25">
      <c r="A58" s="81">
        <v>63</v>
      </c>
      <c r="B58" s="91">
        <f>IF(('tuot-VKO'!$J$5&gt;0),$O$5-SUM('tuot-VKO'!$C$11:'tuot-VKO'!C59), )</f>
        <v>9990</v>
      </c>
      <c r="C58" s="92">
        <f>IF(('tuot-VKO'!$J$5&gt;0),100-(SUM('tuot-VKO'!C$11:C59))/$O$5*100, )</f>
        <v>100</v>
      </c>
      <c r="D58" s="93">
        <f t="shared" si="21"/>
        <v>95.671981776765378</v>
      </c>
      <c r="E58" s="94">
        <f>IF(('tuot-VKO'!$J$5&gt;0),('tuot-VKO'!D59+'tuot-VKO'!E59)/7/B58*100, )</f>
        <v>0</v>
      </c>
      <c r="F58" s="95">
        <f>IF(('tuot-VKO'!$J$5&gt;0),'tuot-VKO'!D59/7/B58*100, )</f>
        <v>0</v>
      </c>
      <c r="G58" s="93">
        <f t="shared" si="38"/>
        <v>87.8</v>
      </c>
      <c r="H58" s="92">
        <f t="shared" si="26"/>
        <v>0</v>
      </c>
      <c r="I58" s="93">
        <f t="shared" si="27"/>
        <v>280.48999999999995</v>
      </c>
      <c r="J58" s="94">
        <f>IF('tuot-VKO'!F59&gt;0,'tuot-VKO'!F59,J57)</f>
        <v>0</v>
      </c>
      <c r="K58" s="96">
        <f t="shared" si="39"/>
        <v>65.599999999999994</v>
      </c>
      <c r="L58" s="92">
        <f>IF(U58&lt;&gt;0,SUMPRODUCT(($J$10:J58)*($Y$10:Y58)/U58),0)</f>
        <v>0</v>
      </c>
      <c r="M58" s="93">
        <f>IF(V58&lt;&gt;0,SUMPRODUCT(($K$10:K58)*($Z$10:Z58)/V58),0)</f>
        <v>62.018634427525676</v>
      </c>
      <c r="N58" s="91">
        <f t="shared" si="23"/>
        <v>0</v>
      </c>
      <c r="O58" s="97">
        <f t="shared" si="24"/>
        <v>390</v>
      </c>
      <c r="P58" s="98">
        <f t="shared" si="33"/>
        <v>0</v>
      </c>
      <c r="Q58" s="99">
        <f t="shared" si="33"/>
        <v>16.990000000000006</v>
      </c>
      <c r="R58" s="94">
        <f>IF(('tuot-VKO'!$J$5&gt;0),('tuot-VKO'!D59+'tuot-VKO'!E59)/7/$O$5*100,0)</f>
        <v>0</v>
      </c>
      <c r="S58" s="95">
        <f>IF(('tuot-VKO'!$J$5&gt;0),'tuot-VKO'!D59/7/$O$5*100,0)</f>
        <v>0</v>
      </c>
      <c r="T58" s="93">
        <f t="shared" si="40"/>
        <v>84</v>
      </c>
      <c r="U58" s="94">
        <f t="shared" si="28"/>
        <v>0</v>
      </c>
      <c r="V58" s="93">
        <f t="shared" si="29"/>
        <v>274.44900000000001</v>
      </c>
      <c r="W58" s="245">
        <f t="shared" si="41"/>
        <v>81.653999999999996</v>
      </c>
      <c r="X58" s="245">
        <f t="shared" si="42"/>
        <v>8.7800000000000011</v>
      </c>
      <c r="Y58" s="243">
        <f t="shared" si="30"/>
        <v>0</v>
      </c>
      <c r="Z58" s="243">
        <f t="shared" si="31"/>
        <v>5.8799999999999955</v>
      </c>
      <c r="AA58" s="243">
        <f t="shared" si="32"/>
        <v>0</v>
      </c>
      <c r="AB58" s="243" t="str">
        <f t="shared" si="10"/>
        <v/>
      </c>
      <c r="AC58" s="243" t="str">
        <f t="shared" si="25"/>
        <v/>
      </c>
      <c r="AD58" s="243">
        <f t="shared" si="34"/>
        <v>0</v>
      </c>
      <c r="AE58" s="243">
        <f t="shared" si="35"/>
        <v>100</v>
      </c>
      <c r="AF58" s="243">
        <f t="shared" si="36"/>
        <v>0</v>
      </c>
      <c r="AG58" s="243">
        <f t="shared" si="37"/>
        <v>0</v>
      </c>
      <c r="AH58" s="241">
        <v>87.8</v>
      </c>
      <c r="AI58" s="241">
        <v>90.4</v>
      </c>
      <c r="AJ58" s="241">
        <v>89.9</v>
      </c>
      <c r="AK58" s="241">
        <v>92.2</v>
      </c>
      <c r="AL58" s="241">
        <v>65.599999999999994</v>
      </c>
      <c r="AM58" s="241">
        <v>64.900000000000006</v>
      </c>
      <c r="AN58" s="241">
        <v>63.7</v>
      </c>
      <c r="AO58" s="241">
        <v>63.3</v>
      </c>
      <c r="AP58" s="241">
        <v>84</v>
      </c>
      <c r="AQ58" s="241">
        <v>85.3</v>
      </c>
      <c r="AR58" s="241">
        <v>85.8</v>
      </c>
      <c r="AS58" s="241">
        <v>87.1</v>
      </c>
    </row>
    <row r="59" spans="1:45" x14ac:dyDescent="0.25">
      <c r="A59" s="81">
        <v>64</v>
      </c>
      <c r="B59" s="91">
        <f>IF(('tuot-VKO'!$J$5&gt;0),$O$5-SUM('tuot-VKO'!$C$11:'tuot-VKO'!C60), )</f>
        <v>9990</v>
      </c>
      <c r="C59" s="92">
        <f>IF(('tuot-VKO'!$J$5&gt;0),100-(SUM('tuot-VKO'!C$11:C60))/$O$5*100, )</f>
        <v>100</v>
      </c>
      <c r="D59" s="93">
        <f t="shared" si="21"/>
        <v>95.642201834862391</v>
      </c>
      <c r="E59" s="94">
        <f>IF(('tuot-VKO'!$J$5&gt;0),('tuot-VKO'!D60+'tuot-VKO'!E60)/7/B59*100, )</f>
        <v>0</v>
      </c>
      <c r="F59" s="95">
        <f>IF(('tuot-VKO'!$J$5&gt;0),'tuot-VKO'!D60/7/B59*100, )</f>
        <v>0</v>
      </c>
      <c r="G59" s="93">
        <f t="shared" si="38"/>
        <v>87.2</v>
      </c>
      <c r="H59" s="92">
        <f t="shared" si="26"/>
        <v>0</v>
      </c>
      <c r="I59" s="93">
        <f t="shared" si="27"/>
        <v>286.59399999999994</v>
      </c>
      <c r="J59" s="94">
        <f>IF('tuot-VKO'!F60&gt;0,'tuot-VKO'!F60,J58)</f>
        <v>0</v>
      </c>
      <c r="K59" s="96">
        <f t="shared" si="39"/>
        <v>65.599999999999994</v>
      </c>
      <c r="L59" s="92">
        <f>IF(U59&lt;&gt;0,SUMPRODUCT(($J$10:J59)*($Y$10:Y59)/U59),0)</f>
        <v>0</v>
      </c>
      <c r="M59" s="93">
        <f>IF(V59&lt;&gt;0,SUMPRODUCT(($K$10:K59)*($Z$10:Z59)/V59),0)</f>
        <v>62.093229439824185</v>
      </c>
      <c r="N59" s="91">
        <f t="shared" si="23"/>
        <v>0</v>
      </c>
      <c r="O59" s="97">
        <f t="shared" si="24"/>
        <v>380</v>
      </c>
      <c r="P59" s="98">
        <f t="shared" si="33"/>
        <v>0</v>
      </c>
      <c r="Q59" s="99">
        <f t="shared" si="33"/>
        <v>17.370000000000005</v>
      </c>
      <c r="R59" s="94">
        <f>IF(('tuot-VKO'!$J$5&gt;0),('tuot-VKO'!D60+'tuot-VKO'!E60)/7/$O$5*100,0)</f>
        <v>0</v>
      </c>
      <c r="S59" s="95">
        <f>IF(('tuot-VKO'!$J$5&gt;0),'tuot-VKO'!D60/7/$O$5*100,0)</f>
        <v>0</v>
      </c>
      <c r="T59" s="93">
        <f t="shared" si="40"/>
        <v>83.4</v>
      </c>
      <c r="U59" s="94">
        <f t="shared" si="28"/>
        <v>0</v>
      </c>
      <c r="V59" s="93">
        <f t="shared" si="29"/>
        <v>280.28700000000003</v>
      </c>
      <c r="W59" s="245">
        <f t="shared" si="41"/>
        <v>81.096000000000004</v>
      </c>
      <c r="X59" s="245">
        <f t="shared" si="42"/>
        <v>8.7199999999999989</v>
      </c>
      <c r="Y59" s="243">
        <f t="shared" si="30"/>
        <v>0</v>
      </c>
      <c r="Z59" s="243">
        <f t="shared" si="31"/>
        <v>5.8380000000000223</v>
      </c>
      <c r="AA59" s="243">
        <f t="shared" si="32"/>
        <v>0</v>
      </c>
      <c r="AB59" s="243" t="str">
        <f t="shared" si="10"/>
        <v/>
      </c>
      <c r="AC59" s="243" t="str">
        <f t="shared" si="25"/>
        <v/>
      </c>
      <c r="AD59" s="243">
        <f t="shared" si="34"/>
        <v>0</v>
      </c>
      <c r="AE59" s="243">
        <f t="shared" si="35"/>
        <v>100</v>
      </c>
      <c r="AF59" s="243">
        <f t="shared" si="36"/>
        <v>0</v>
      </c>
      <c r="AG59" s="243">
        <f t="shared" si="37"/>
        <v>0</v>
      </c>
      <c r="AH59" s="241">
        <v>87.2</v>
      </c>
      <c r="AI59" s="241">
        <v>89.9</v>
      </c>
      <c r="AJ59" s="241">
        <v>89.6</v>
      </c>
      <c r="AK59" s="241">
        <v>91.9</v>
      </c>
      <c r="AL59" s="241">
        <v>65.599999999999994</v>
      </c>
      <c r="AM59" s="241">
        <v>65</v>
      </c>
      <c r="AN59" s="241">
        <v>63.8</v>
      </c>
      <c r="AO59" s="241">
        <v>63.3</v>
      </c>
      <c r="AP59" s="241">
        <v>83.4</v>
      </c>
      <c r="AQ59" s="241">
        <v>84.7</v>
      </c>
      <c r="AR59" s="241">
        <v>85.3</v>
      </c>
      <c r="AS59" s="241">
        <v>86.6</v>
      </c>
    </row>
    <row r="60" spans="1:45" x14ac:dyDescent="0.25">
      <c r="A60" s="100">
        <v>65</v>
      </c>
      <c r="B60" s="101">
        <f>IF(('tuot-VKO'!$J$5&gt;0),$O$5-SUM('tuot-VKO'!$C$11:'tuot-VKO'!C61), )</f>
        <v>9990</v>
      </c>
      <c r="C60" s="102">
        <f>IF(('tuot-VKO'!$J$5&gt;0),100-(SUM('tuot-VKO'!C$11:C61))/$O$5*100, )</f>
        <v>100</v>
      </c>
      <c r="D60" s="103">
        <f t="shared" si="21"/>
        <v>95.501730103806224</v>
      </c>
      <c r="E60" s="104">
        <f>IF(('tuot-VKO'!$J$5&gt;0),('tuot-VKO'!D61+'tuot-VKO'!E61)/7/B60*100, )</f>
        <v>0</v>
      </c>
      <c r="F60" s="105">
        <f>IF(('tuot-VKO'!$J$5&gt;0),'tuot-VKO'!D61/7/B60*100, )</f>
        <v>0</v>
      </c>
      <c r="G60" s="103">
        <f t="shared" si="38"/>
        <v>86.7</v>
      </c>
      <c r="H60" s="102">
        <f t="shared" si="26"/>
        <v>0</v>
      </c>
      <c r="I60" s="103">
        <f t="shared" si="27"/>
        <v>292.66299999999995</v>
      </c>
      <c r="J60" s="104">
        <f>IF('tuot-VKO'!F61&gt;0,'tuot-VKO'!F61,J59)</f>
        <v>0</v>
      </c>
      <c r="K60" s="106">
        <f t="shared" si="39"/>
        <v>65.7</v>
      </c>
      <c r="L60" s="102">
        <f>IF(U60&lt;&gt;0,SUMPRODUCT(($J$10:J60)*($Y$10:Y60)/U60),0)</f>
        <v>0</v>
      </c>
      <c r="M60" s="103">
        <f>IF(V60&lt;&gt;0,SUMPRODUCT(($K$10:K60)*($Z$10:Z60)/V60),0)</f>
        <v>62.166302087156517</v>
      </c>
      <c r="N60" s="101">
        <f t="shared" si="23"/>
        <v>0</v>
      </c>
      <c r="O60" s="107">
        <f t="shared" si="24"/>
        <v>380</v>
      </c>
      <c r="P60" s="108">
        <f t="shared" ref="P60:Q75" si="43">P59+N60/1000</f>
        <v>0</v>
      </c>
      <c r="Q60" s="109">
        <f t="shared" si="43"/>
        <v>17.750000000000004</v>
      </c>
      <c r="R60" s="104">
        <f>IF(('tuot-VKO'!$J$5&gt;0),('tuot-VKO'!D61+'tuot-VKO'!E61)/7/$O$5*100,0)</f>
        <v>0</v>
      </c>
      <c r="S60" s="105">
        <f>IF(('tuot-VKO'!$J$5&gt;0),'tuot-VKO'!D61/7/$O$5*100,0)</f>
        <v>0</v>
      </c>
      <c r="T60" s="103">
        <f t="shared" si="40"/>
        <v>82.8</v>
      </c>
      <c r="U60" s="104">
        <f t="shared" si="28"/>
        <v>0</v>
      </c>
      <c r="V60" s="103">
        <f t="shared" si="29"/>
        <v>286.08300000000003</v>
      </c>
      <c r="W60" s="245">
        <f t="shared" si="41"/>
        <v>80.631</v>
      </c>
      <c r="X60" s="245">
        <f t="shared" si="42"/>
        <v>8.6700000000000017</v>
      </c>
      <c r="Y60" s="243">
        <f t="shared" si="30"/>
        <v>0</v>
      </c>
      <c r="Z60" s="243">
        <f t="shared" si="31"/>
        <v>5.7959999999999923</v>
      </c>
      <c r="AA60" s="243">
        <f t="shared" si="32"/>
        <v>0</v>
      </c>
      <c r="AB60" s="243" t="str">
        <f t="shared" si="10"/>
        <v/>
      </c>
      <c r="AC60" s="243" t="str">
        <f t="shared" si="25"/>
        <v/>
      </c>
      <c r="AD60" s="243">
        <f t="shared" si="34"/>
        <v>0</v>
      </c>
      <c r="AE60" s="243">
        <f t="shared" si="35"/>
        <v>100</v>
      </c>
      <c r="AF60" s="243">
        <f t="shared" si="36"/>
        <v>0</v>
      </c>
      <c r="AG60" s="243">
        <f t="shared" si="37"/>
        <v>0</v>
      </c>
      <c r="AH60" s="241">
        <v>86.7</v>
      </c>
      <c r="AI60" s="241">
        <v>89.5</v>
      </c>
      <c r="AJ60" s="241">
        <v>89.2</v>
      </c>
      <c r="AK60" s="241">
        <v>91.4</v>
      </c>
      <c r="AL60" s="241">
        <v>65.7</v>
      </c>
      <c r="AM60" s="241">
        <v>65.099999999999994</v>
      </c>
      <c r="AN60" s="241">
        <v>63.8</v>
      </c>
      <c r="AO60" s="241">
        <v>63.4</v>
      </c>
      <c r="AP60" s="241">
        <v>82.8</v>
      </c>
      <c r="AQ60" s="241">
        <v>84.1</v>
      </c>
      <c r="AR60" s="241">
        <v>84.8</v>
      </c>
      <c r="AS60" s="241">
        <v>86</v>
      </c>
    </row>
    <row r="61" spans="1:45" x14ac:dyDescent="0.25">
      <c r="A61" s="81">
        <v>66</v>
      </c>
      <c r="B61" s="91">
        <f>IF(('tuot-VKO'!$J$5&gt;0),$O$5-SUM('tuot-VKO'!$C$11:'tuot-VKO'!C62), )</f>
        <v>9990</v>
      </c>
      <c r="C61" s="92">
        <f>IF(('tuot-VKO'!$J$5&gt;0),100-(SUM('tuot-VKO'!C$11:C62))/$O$5*100, )</f>
        <v>100</v>
      </c>
      <c r="D61" s="93">
        <f t="shared" si="21"/>
        <v>95.359628770301612</v>
      </c>
      <c r="E61" s="94">
        <f>IF(('tuot-VKO'!$J$5&gt;0),('tuot-VKO'!D62+'tuot-VKO'!E62)/7/B61*100, )</f>
        <v>0</v>
      </c>
      <c r="F61" s="95">
        <f>IF(('tuot-VKO'!$J$5&gt;0),'tuot-VKO'!D62/7/B61*100, )</f>
        <v>0</v>
      </c>
      <c r="G61" s="93">
        <f t="shared" si="38"/>
        <v>86.2</v>
      </c>
      <c r="H61" s="92">
        <f t="shared" si="26"/>
        <v>0</v>
      </c>
      <c r="I61" s="93">
        <f t="shared" si="27"/>
        <v>298.69699999999995</v>
      </c>
      <c r="J61" s="94">
        <f>IF('tuot-VKO'!F62&gt;0,'tuot-VKO'!F62,J60)</f>
        <v>0</v>
      </c>
      <c r="K61" s="96">
        <f t="shared" si="39"/>
        <v>65.7</v>
      </c>
      <c r="L61" s="92">
        <f>IF(U61&lt;&gt;0,SUMPRODUCT(($J$10:J61)*($Y$10:Y61)/U61),0)</f>
        <v>0</v>
      </c>
      <c r="M61" s="93">
        <f>IF(V61&lt;&gt;0,SUMPRODUCT(($K$10:K61)*($Z$10:Z61)/V61),0)</f>
        <v>62.235974191072408</v>
      </c>
      <c r="N61" s="91">
        <f t="shared" si="23"/>
        <v>0</v>
      </c>
      <c r="O61" s="97">
        <f t="shared" si="24"/>
        <v>380</v>
      </c>
      <c r="P61" s="98">
        <f t="shared" si="43"/>
        <v>0</v>
      </c>
      <c r="Q61" s="99">
        <f t="shared" si="43"/>
        <v>18.130000000000003</v>
      </c>
      <c r="R61" s="94">
        <f>IF(('tuot-VKO'!$J$5&gt;0),('tuot-VKO'!D62+'tuot-VKO'!E62)/7/$O$5*100,0)</f>
        <v>0</v>
      </c>
      <c r="S61" s="95">
        <f>IF(('tuot-VKO'!$J$5&gt;0),'tuot-VKO'!D62/7/$O$5*100,0)</f>
        <v>0</v>
      </c>
      <c r="T61" s="93">
        <f t="shared" si="40"/>
        <v>82.2</v>
      </c>
      <c r="U61" s="94">
        <f t="shared" si="28"/>
        <v>0</v>
      </c>
      <c r="V61" s="93">
        <f t="shared" si="29"/>
        <v>291.83700000000005</v>
      </c>
      <c r="W61" s="245">
        <f t="shared" si="41"/>
        <v>80.165999999999997</v>
      </c>
      <c r="X61" s="245">
        <f t="shared" si="42"/>
        <v>8.6200000000000045</v>
      </c>
      <c r="Y61" s="243">
        <f t="shared" si="30"/>
        <v>0</v>
      </c>
      <c r="Z61" s="243">
        <f t="shared" si="31"/>
        <v>5.7540000000000191</v>
      </c>
      <c r="AA61" s="243">
        <f t="shared" si="32"/>
        <v>0</v>
      </c>
      <c r="AB61" s="243" t="str">
        <f t="shared" si="10"/>
        <v/>
      </c>
      <c r="AC61" s="243" t="str">
        <f t="shared" si="25"/>
        <v/>
      </c>
      <c r="AD61" s="243">
        <f t="shared" si="34"/>
        <v>0</v>
      </c>
      <c r="AE61" s="243">
        <f t="shared" si="35"/>
        <v>100</v>
      </c>
      <c r="AF61" s="243">
        <f t="shared" si="36"/>
        <v>0</v>
      </c>
      <c r="AG61" s="243">
        <f t="shared" si="37"/>
        <v>0</v>
      </c>
      <c r="AH61" s="241">
        <v>86.2</v>
      </c>
      <c r="AI61" s="241">
        <v>89.1</v>
      </c>
      <c r="AJ61" s="241">
        <v>88.7</v>
      </c>
      <c r="AK61" s="241">
        <v>91</v>
      </c>
      <c r="AL61" s="241">
        <v>65.7</v>
      </c>
      <c r="AM61" s="241">
        <v>65.2</v>
      </c>
      <c r="AN61" s="241">
        <v>63.9</v>
      </c>
      <c r="AO61" s="241">
        <v>63.4</v>
      </c>
      <c r="AP61" s="241">
        <v>82.2</v>
      </c>
      <c r="AQ61" s="241">
        <v>83.5</v>
      </c>
      <c r="AR61" s="241">
        <v>84.3</v>
      </c>
      <c r="AS61" s="241">
        <v>85.4</v>
      </c>
    </row>
    <row r="62" spans="1:45" x14ac:dyDescent="0.25">
      <c r="A62" s="81">
        <v>67</v>
      </c>
      <c r="B62" s="91">
        <f>IF(('tuot-VKO'!$J$5&gt;0),$O$5-SUM('tuot-VKO'!$C$11:'tuot-VKO'!C63), )</f>
        <v>9990</v>
      </c>
      <c r="C62" s="92">
        <f>IF(('tuot-VKO'!$J$5&gt;0),100-(SUM('tuot-VKO'!C$11:C63))/$O$5*100, )</f>
        <v>100</v>
      </c>
      <c r="D62" s="93">
        <f t="shared" si="21"/>
        <v>95.327102803738313</v>
      </c>
      <c r="E62" s="94">
        <f>IF(('tuot-VKO'!$J$5&gt;0),('tuot-VKO'!D63+'tuot-VKO'!E63)/7/B62*100, )</f>
        <v>0</v>
      </c>
      <c r="F62" s="95">
        <f>IF(('tuot-VKO'!$J$5&gt;0),'tuot-VKO'!D63/7/B62*100, )</f>
        <v>0</v>
      </c>
      <c r="G62" s="93">
        <f t="shared" si="38"/>
        <v>85.6</v>
      </c>
      <c r="H62" s="92">
        <f t="shared" si="26"/>
        <v>0</v>
      </c>
      <c r="I62" s="93">
        <f>IF(ISNUMBER(G62),7*G62/100+I61, )</f>
        <v>304.68899999999996</v>
      </c>
      <c r="J62" s="94">
        <f>IF('tuot-VKO'!F63&gt;0,'tuot-VKO'!F63,J61)</f>
        <v>0</v>
      </c>
      <c r="K62" s="96">
        <f t="shared" si="39"/>
        <v>65.7</v>
      </c>
      <c r="L62" s="92">
        <f>IF(U62&lt;&gt;0,SUMPRODUCT(($J$10:J62)*($Y$10:Y62)/U62),0)</f>
        <v>0</v>
      </c>
      <c r="M62" s="93">
        <f>IF(V62&lt;&gt;0,SUMPRODUCT(($K$10:K62)*($Z$10:Z62)/V62),0)</f>
        <v>62.302472533935585</v>
      </c>
      <c r="N62" s="91">
        <f t="shared" si="23"/>
        <v>0</v>
      </c>
      <c r="O62" s="97">
        <f t="shared" si="24"/>
        <v>380</v>
      </c>
      <c r="P62" s="98">
        <f t="shared" si="43"/>
        <v>0</v>
      </c>
      <c r="Q62" s="99">
        <f t="shared" si="43"/>
        <v>18.510000000000002</v>
      </c>
      <c r="R62" s="94">
        <f>IF(('tuot-VKO'!$J$5&gt;0),('tuot-VKO'!D63+'tuot-VKO'!E63)/7/$O$5*100,0)</f>
        <v>0</v>
      </c>
      <c r="S62" s="95">
        <f>IF(('tuot-VKO'!$J$5&gt;0),'tuot-VKO'!D63/7/$O$5*100,0)</f>
        <v>0</v>
      </c>
      <c r="T62" s="93">
        <f t="shared" si="40"/>
        <v>81.599999999999994</v>
      </c>
      <c r="U62" s="94">
        <f t="shared" si="28"/>
        <v>0</v>
      </c>
      <c r="V62" s="93">
        <f t="shared" si="29"/>
        <v>297.54900000000004</v>
      </c>
      <c r="W62" s="245">
        <f t="shared" si="41"/>
        <v>79.60799999999999</v>
      </c>
      <c r="X62" s="245">
        <f t="shared" si="42"/>
        <v>8.5600000000000023</v>
      </c>
      <c r="Y62" s="243">
        <f t="shared" si="30"/>
        <v>0</v>
      </c>
      <c r="Z62" s="243">
        <f t="shared" si="31"/>
        <v>5.7119999999999891</v>
      </c>
      <c r="AA62" s="243">
        <f t="shared" si="32"/>
        <v>0</v>
      </c>
      <c r="AB62" s="243" t="str">
        <f t="shared" si="10"/>
        <v/>
      </c>
      <c r="AC62" s="243" t="str">
        <f t="shared" si="25"/>
        <v/>
      </c>
      <c r="AD62" s="243">
        <f t="shared" si="34"/>
        <v>0</v>
      </c>
      <c r="AE62" s="243">
        <f t="shared" si="35"/>
        <v>100</v>
      </c>
      <c r="AF62" s="243">
        <f t="shared" si="36"/>
        <v>0</v>
      </c>
      <c r="AG62" s="243">
        <f t="shared" si="37"/>
        <v>0</v>
      </c>
      <c r="AH62" s="241">
        <v>85.6</v>
      </c>
      <c r="AI62" s="241">
        <v>88.6</v>
      </c>
      <c r="AJ62" s="241">
        <v>88.3</v>
      </c>
      <c r="AK62" s="241">
        <v>90.5</v>
      </c>
      <c r="AL62" s="241">
        <v>65.7</v>
      </c>
      <c r="AM62" s="241">
        <v>65.3</v>
      </c>
      <c r="AN62" s="241">
        <v>63.9</v>
      </c>
      <c r="AO62" s="241">
        <v>63.5</v>
      </c>
      <c r="AP62" s="241">
        <v>81.599999999999994</v>
      </c>
      <c r="AQ62" s="241">
        <v>82.9</v>
      </c>
      <c r="AR62" s="241">
        <v>83.7</v>
      </c>
      <c r="AS62" s="241">
        <v>84.8</v>
      </c>
    </row>
    <row r="63" spans="1:45" x14ac:dyDescent="0.25">
      <c r="A63" s="81">
        <v>68</v>
      </c>
      <c r="B63" s="91">
        <f>IF(('tuot-VKO'!$J$5&gt;0),$O$5-SUM('tuot-VKO'!$C$11:'tuot-VKO'!C64), )</f>
        <v>9990</v>
      </c>
      <c r="C63" s="92">
        <f>IF(('tuot-VKO'!$J$5&gt;0),100-(SUM('tuot-VKO'!C$11:C64))/$O$5*100, )</f>
        <v>100</v>
      </c>
      <c r="D63" s="93">
        <f t="shared" si="21"/>
        <v>95.17647058823529</v>
      </c>
      <c r="E63" s="94">
        <f>IF(('tuot-VKO'!$J$5&gt;0),('tuot-VKO'!D64+'tuot-VKO'!E64)/7/B63*100, )</f>
        <v>0</v>
      </c>
      <c r="F63" s="95">
        <f>IF(('tuot-VKO'!$J$5&gt;0),'tuot-VKO'!D64/7/B63*100, )</f>
        <v>0</v>
      </c>
      <c r="G63" s="93">
        <f t="shared" si="38"/>
        <v>85</v>
      </c>
      <c r="H63" s="92">
        <f t="shared" si="26"/>
        <v>0</v>
      </c>
      <c r="I63" s="93">
        <f t="shared" si="27"/>
        <v>310.63899999999995</v>
      </c>
      <c r="J63" s="94">
        <f>IF('tuot-VKO'!F64&gt;0,'tuot-VKO'!F64,J62)</f>
        <v>0</v>
      </c>
      <c r="K63" s="96">
        <f t="shared" si="39"/>
        <v>65.7</v>
      </c>
      <c r="L63" s="92">
        <f>IF(U63&lt;&gt;0,SUMPRODUCT(($J$10:J63)*($Y$10:Y63)/U63),0)</f>
        <v>0</v>
      </c>
      <c r="M63" s="93">
        <f>IF(V63&lt;&gt;0,SUMPRODUCT(($K$10:K63)*($Z$10:Z63)/V63),0)</f>
        <v>62.365927140086796</v>
      </c>
      <c r="N63" s="91">
        <f t="shared" si="23"/>
        <v>0</v>
      </c>
      <c r="O63" s="97">
        <f t="shared" si="24"/>
        <v>370</v>
      </c>
      <c r="P63" s="98">
        <f t="shared" si="43"/>
        <v>0</v>
      </c>
      <c r="Q63" s="99">
        <f t="shared" si="43"/>
        <v>18.880000000000003</v>
      </c>
      <c r="R63" s="94">
        <f>IF(('tuot-VKO'!$J$5&gt;0),('tuot-VKO'!D64+'tuot-VKO'!E64)/7/$O$5*100,0)</f>
        <v>0</v>
      </c>
      <c r="S63" s="95">
        <f>IF(('tuot-VKO'!$J$5&gt;0),'tuot-VKO'!D64/7/$O$5*100,0)</f>
        <v>0</v>
      </c>
      <c r="T63" s="93">
        <f t="shared" si="40"/>
        <v>80.900000000000006</v>
      </c>
      <c r="U63" s="94">
        <f t="shared" si="28"/>
        <v>0</v>
      </c>
      <c r="V63" s="93">
        <f t="shared" si="29"/>
        <v>303.21200000000005</v>
      </c>
      <c r="W63" s="245">
        <f t="shared" si="41"/>
        <v>79.05</v>
      </c>
      <c r="X63" s="245">
        <f t="shared" si="42"/>
        <v>8.5</v>
      </c>
      <c r="Y63" s="243">
        <f t="shared" si="30"/>
        <v>0</v>
      </c>
      <c r="Z63" s="243">
        <f t="shared" si="31"/>
        <v>5.6630000000000109</v>
      </c>
      <c r="AA63" s="243">
        <f t="shared" si="32"/>
        <v>0</v>
      </c>
      <c r="AB63" s="243" t="str">
        <f t="shared" si="10"/>
        <v/>
      </c>
      <c r="AC63" s="243" t="str">
        <f t="shared" si="25"/>
        <v/>
      </c>
      <c r="AD63" s="243">
        <f t="shared" si="34"/>
        <v>0</v>
      </c>
      <c r="AE63" s="243">
        <f t="shared" si="35"/>
        <v>100</v>
      </c>
      <c r="AF63" s="243">
        <f t="shared" si="36"/>
        <v>0</v>
      </c>
      <c r="AG63" s="243">
        <f t="shared" si="37"/>
        <v>0</v>
      </c>
      <c r="AH63" s="241">
        <v>85</v>
      </c>
      <c r="AI63" s="241">
        <v>88</v>
      </c>
      <c r="AJ63" s="241">
        <v>87.9</v>
      </c>
      <c r="AK63" s="241">
        <v>90</v>
      </c>
      <c r="AL63" s="241">
        <v>65.7</v>
      </c>
      <c r="AM63" s="241">
        <v>65.400000000000006</v>
      </c>
      <c r="AN63" s="241">
        <v>64</v>
      </c>
      <c r="AO63" s="241">
        <v>63.5</v>
      </c>
      <c r="AP63" s="241">
        <v>80.900000000000006</v>
      </c>
      <c r="AQ63" s="241">
        <v>82.2</v>
      </c>
      <c r="AR63" s="241">
        <v>83.2</v>
      </c>
      <c r="AS63" s="241">
        <v>84.1</v>
      </c>
    </row>
    <row r="64" spans="1:45" x14ac:dyDescent="0.25">
      <c r="A64" s="81">
        <v>69</v>
      </c>
      <c r="B64" s="91">
        <f>IF(('tuot-VKO'!$J$5&gt;0),$O$5-SUM('tuot-VKO'!$C$11:'tuot-VKO'!C65), )</f>
        <v>9990</v>
      </c>
      <c r="C64" s="92">
        <f>IF(('tuot-VKO'!$J$5&gt;0),100-(SUM('tuot-VKO'!C$11:C65))/$O$5*100, )</f>
        <v>100</v>
      </c>
      <c r="D64" s="93">
        <f t="shared" si="21"/>
        <v>95.142180094786724</v>
      </c>
      <c r="E64" s="94">
        <f>IF(('tuot-VKO'!$J$5&gt;0),('tuot-VKO'!D65+'tuot-VKO'!E65)/7/B64*100, )</f>
        <v>0</v>
      </c>
      <c r="F64" s="95">
        <f>IF(('tuot-VKO'!$J$5&gt;0),'tuot-VKO'!D65/7/B64*100, )</f>
        <v>0</v>
      </c>
      <c r="G64" s="93">
        <f t="shared" si="38"/>
        <v>84.4</v>
      </c>
      <c r="H64" s="92">
        <f t="shared" si="26"/>
        <v>0</v>
      </c>
      <c r="I64" s="93">
        <f t="shared" si="27"/>
        <v>316.54699999999997</v>
      </c>
      <c r="J64" s="94">
        <f>IF('tuot-VKO'!F65&gt;0,'tuot-VKO'!F65,J63)</f>
        <v>0</v>
      </c>
      <c r="K64" s="96">
        <f t="shared" si="39"/>
        <v>65.8</v>
      </c>
      <c r="L64" s="92">
        <f>IF(U64&lt;&gt;0,SUMPRODUCT(($J$10:J64)*($Y$10:Y64)/U64),0)</f>
        <v>0</v>
      </c>
      <c r="M64" s="93">
        <f>IF(V64&lt;&gt;0,SUMPRODUCT(($K$10:K64)*($Z$10:Z64)/V64),0)</f>
        <v>62.428429928148873</v>
      </c>
      <c r="N64" s="91">
        <f t="shared" si="23"/>
        <v>0</v>
      </c>
      <c r="O64" s="97">
        <f t="shared" si="24"/>
        <v>370</v>
      </c>
      <c r="P64" s="98">
        <f t="shared" si="43"/>
        <v>0</v>
      </c>
      <c r="Q64" s="99">
        <f t="shared" si="43"/>
        <v>19.250000000000004</v>
      </c>
      <c r="R64" s="94">
        <f>IF(('tuot-VKO'!$J$5&gt;0),('tuot-VKO'!D65+'tuot-VKO'!E65)/7/$O$5*100,0)</f>
        <v>0</v>
      </c>
      <c r="S64" s="95">
        <f>IF(('tuot-VKO'!$J$5&gt;0),'tuot-VKO'!D65/7/$O$5*100,0)</f>
        <v>0</v>
      </c>
      <c r="T64" s="93">
        <f t="shared" si="40"/>
        <v>80.3</v>
      </c>
      <c r="U64" s="94">
        <f t="shared" si="28"/>
        <v>0</v>
      </c>
      <c r="V64" s="93">
        <f t="shared" si="29"/>
        <v>308.83300000000003</v>
      </c>
      <c r="W64" s="245">
        <f t="shared" si="41"/>
        <v>78.492000000000004</v>
      </c>
      <c r="X64" s="245">
        <f t="shared" si="42"/>
        <v>8.4399999999999977</v>
      </c>
      <c r="Y64" s="243">
        <f t="shared" si="30"/>
        <v>0</v>
      </c>
      <c r="Z64" s="243">
        <f t="shared" si="31"/>
        <v>5.6209999999999809</v>
      </c>
      <c r="AA64" s="243">
        <f t="shared" si="32"/>
        <v>0</v>
      </c>
      <c r="AB64" s="243" t="str">
        <f t="shared" si="10"/>
        <v/>
      </c>
      <c r="AC64" s="243" t="str">
        <f t="shared" si="25"/>
        <v/>
      </c>
      <c r="AD64" s="243">
        <f t="shared" si="34"/>
        <v>0</v>
      </c>
      <c r="AE64" s="243">
        <f t="shared" si="35"/>
        <v>100</v>
      </c>
      <c r="AF64" s="243">
        <f t="shared" si="36"/>
        <v>0</v>
      </c>
      <c r="AG64" s="243">
        <f t="shared" si="37"/>
        <v>0</v>
      </c>
      <c r="AH64" s="241">
        <v>84.4</v>
      </c>
      <c r="AI64" s="241">
        <v>87.5</v>
      </c>
      <c r="AJ64" s="241">
        <v>87.4</v>
      </c>
      <c r="AK64" s="241">
        <v>89.4</v>
      </c>
      <c r="AL64" s="241">
        <v>65.8</v>
      </c>
      <c r="AM64" s="241">
        <v>65.5</v>
      </c>
      <c r="AN64" s="241">
        <v>64</v>
      </c>
      <c r="AO64" s="241">
        <v>63.6</v>
      </c>
      <c r="AP64" s="241">
        <v>80.3</v>
      </c>
      <c r="AQ64" s="241">
        <v>81.5</v>
      </c>
      <c r="AR64" s="241">
        <v>82.6</v>
      </c>
      <c r="AS64" s="241">
        <v>83.4</v>
      </c>
    </row>
    <row r="65" spans="1:45" x14ac:dyDescent="0.25">
      <c r="A65" s="100">
        <v>70</v>
      </c>
      <c r="B65" s="101">
        <f>IF(('tuot-VKO'!$J$5&gt;0),$O$5-SUM('tuot-VKO'!$C$11:'tuot-VKO'!C66), )</f>
        <v>9990</v>
      </c>
      <c r="C65" s="102">
        <f>IF(('tuot-VKO'!$J$5&gt;0),100-(SUM('tuot-VKO'!C$11:C66))/$O$5*100, )</f>
        <v>100</v>
      </c>
      <c r="D65" s="103">
        <f t="shared" si="21"/>
        <v>94.988066825775647</v>
      </c>
      <c r="E65" s="104">
        <f>IF(('tuot-VKO'!$J$5&gt;0),('tuot-VKO'!D66+'tuot-VKO'!E66)/7/B65*100, )</f>
        <v>0</v>
      </c>
      <c r="F65" s="105">
        <f>IF(('tuot-VKO'!$J$5&gt;0),'tuot-VKO'!D66/7/B65*100, )</f>
        <v>0</v>
      </c>
      <c r="G65" s="103">
        <f t="shared" si="38"/>
        <v>83.8</v>
      </c>
      <c r="H65" s="102">
        <f t="shared" si="26"/>
        <v>0</v>
      </c>
      <c r="I65" s="103">
        <f t="shared" si="27"/>
        <v>322.41299999999995</v>
      </c>
      <c r="J65" s="104">
        <f>IF('tuot-VKO'!F66&gt;0,'tuot-VKO'!F66,J64)</f>
        <v>0</v>
      </c>
      <c r="K65" s="106">
        <f t="shared" si="39"/>
        <v>65.8</v>
      </c>
      <c r="L65" s="102">
        <f>IF(U65&lt;&gt;0,SUMPRODUCT(($J$10:J65)*($Y$10:Y65)/U65),0)</f>
        <v>0</v>
      </c>
      <c r="M65" s="103">
        <f>IF(V65&lt;&gt;0,SUMPRODUCT(($K$10:K65)*($Z$10:Z65)/V65),0)</f>
        <v>62.488182121785584</v>
      </c>
      <c r="N65" s="101">
        <f t="shared" si="23"/>
        <v>0</v>
      </c>
      <c r="O65" s="107">
        <f t="shared" si="24"/>
        <v>370</v>
      </c>
      <c r="P65" s="108">
        <f t="shared" si="43"/>
        <v>0</v>
      </c>
      <c r="Q65" s="109">
        <f t="shared" si="43"/>
        <v>19.620000000000005</v>
      </c>
      <c r="R65" s="104">
        <f>IF(('tuot-VKO'!$J$5&gt;0),('tuot-VKO'!D66+'tuot-VKO'!E66)/7/$O$5*100,0)</f>
        <v>0</v>
      </c>
      <c r="S65" s="105">
        <f>IF(('tuot-VKO'!$J$5&gt;0),'tuot-VKO'!D66/7/$O$5*100,0)</f>
        <v>0</v>
      </c>
      <c r="T65" s="103">
        <f t="shared" si="40"/>
        <v>79.599999999999994</v>
      </c>
      <c r="U65" s="104">
        <f t="shared" si="28"/>
        <v>0</v>
      </c>
      <c r="V65" s="103">
        <f t="shared" si="29"/>
        <v>314.40500000000003</v>
      </c>
      <c r="W65" s="245">
        <f t="shared" si="41"/>
        <v>77.933999999999997</v>
      </c>
      <c r="X65" s="245">
        <f t="shared" si="42"/>
        <v>8.3799999999999955</v>
      </c>
      <c r="Y65" s="243">
        <f t="shared" si="30"/>
        <v>0</v>
      </c>
      <c r="Z65" s="243">
        <f t="shared" si="31"/>
        <v>5.5720000000000027</v>
      </c>
      <c r="AA65" s="243">
        <f t="shared" si="32"/>
        <v>0</v>
      </c>
      <c r="AB65" s="243" t="str">
        <f t="shared" si="10"/>
        <v/>
      </c>
      <c r="AC65" s="243" t="str">
        <f t="shared" si="25"/>
        <v/>
      </c>
      <c r="AD65" s="243">
        <f t="shared" si="34"/>
        <v>0</v>
      </c>
      <c r="AE65" s="243">
        <f t="shared" si="35"/>
        <v>100</v>
      </c>
      <c r="AF65" s="243">
        <f t="shared" si="36"/>
        <v>0</v>
      </c>
      <c r="AG65" s="243">
        <f t="shared" si="37"/>
        <v>0</v>
      </c>
      <c r="AH65" s="241">
        <v>83.8</v>
      </c>
      <c r="AI65" s="241">
        <v>86.9</v>
      </c>
      <c r="AJ65" s="241">
        <v>86.9</v>
      </c>
      <c r="AK65" s="241">
        <v>88.9</v>
      </c>
      <c r="AL65" s="241">
        <v>65.8</v>
      </c>
      <c r="AM65" s="241">
        <v>65.599999999999994</v>
      </c>
      <c r="AN65" s="241">
        <v>64.099999999999994</v>
      </c>
      <c r="AO65" s="241">
        <v>63.6</v>
      </c>
      <c r="AP65" s="241">
        <v>79.599999999999994</v>
      </c>
      <c r="AQ65" s="241">
        <v>80.8</v>
      </c>
      <c r="AR65" s="241">
        <v>82</v>
      </c>
      <c r="AS65" s="241">
        <v>82.7</v>
      </c>
    </row>
    <row r="66" spans="1:45" x14ac:dyDescent="0.25">
      <c r="A66" s="81">
        <v>71</v>
      </c>
      <c r="B66" s="91">
        <f>IF(('tuot-VKO'!$J$5&gt;0),$O$5-SUM('tuot-VKO'!$C$11:'tuot-VKO'!C67), )</f>
        <v>9990</v>
      </c>
      <c r="C66" s="92">
        <f>IF(('tuot-VKO'!$J$5&gt;0),100-(SUM('tuot-VKO'!C$11:C67))/$O$5*100, )</f>
        <v>100</v>
      </c>
      <c r="D66" s="93">
        <f t="shared" si="21"/>
        <v>94.951923076923066</v>
      </c>
      <c r="E66" s="94">
        <f>IF(('tuot-VKO'!$J$5&gt;0),('tuot-VKO'!D67+'tuot-VKO'!E67)/7/B66*100, )</f>
        <v>0</v>
      </c>
      <c r="F66" s="95">
        <f>IF(('tuot-VKO'!$J$5&gt;0),'tuot-VKO'!D67/7/B66*100, )</f>
        <v>0</v>
      </c>
      <c r="G66" s="93">
        <f t="shared" si="38"/>
        <v>83.2</v>
      </c>
      <c r="H66" s="92">
        <f t="shared" si="26"/>
        <v>0</v>
      </c>
      <c r="I66" s="93">
        <f t="shared" si="27"/>
        <v>328.23699999999997</v>
      </c>
      <c r="J66" s="94">
        <f>IF('tuot-VKO'!F67&gt;0,'tuot-VKO'!F67,J65)</f>
        <v>0</v>
      </c>
      <c r="K66" s="96">
        <f t="shared" si="39"/>
        <v>65.8</v>
      </c>
      <c r="L66" s="92">
        <f>IF(U66&lt;&gt;0,SUMPRODUCT(($J$10:J66)*($Y$10:Y66)/U66),0)</f>
        <v>0</v>
      </c>
      <c r="M66" s="93">
        <f>IF(V66&lt;&gt;0,SUMPRODUCT(($K$10:K66)*($Z$10:Z66)/V66),0)</f>
        <v>62.545426102177004</v>
      </c>
      <c r="N66" s="91">
        <f t="shared" si="23"/>
        <v>0</v>
      </c>
      <c r="O66" s="97">
        <f t="shared" si="24"/>
        <v>360</v>
      </c>
      <c r="P66" s="98">
        <f t="shared" si="43"/>
        <v>0</v>
      </c>
      <c r="Q66" s="99">
        <f t="shared" si="43"/>
        <v>19.980000000000004</v>
      </c>
      <c r="R66" s="94">
        <f>IF(('tuot-VKO'!$J$5&gt;0),('tuot-VKO'!D67+'tuot-VKO'!E67)/7/$O$5*100,0)</f>
        <v>0</v>
      </c>
      <c r="S66" s="95">
        <f>IF(('tuot-VKO'!$J$5&gt;0),'tuot-VKO'!D67/7/$O$5*100,0)</f>
        <v>0</v>
      </c>
      <c r="T66" s="93">
        <f t="shared" si="40"/>
        <v>79</v>
      </c>
      <c r="U66" s="94">
        <f t="shared" si="28"/>
        <v>0</v>
      </c>
      <c r="V66" s="93">
        <f t="shared" si="29"/>
        <v>319.935</v>
      </c>
      <c r="W66" s="245">
        <f t="shared" si="41"/>
        <v>77.376000000000005</v>
      </c>
      <c r="X66" s="245">
        <f t="shared" si="42"/>
        <v>8.3199999999999932</v>
      </c>
      <c r="Y66" s="243">
        <f t="shared" si="30"/>
        <v>0</v>
      </c>
      <c r="Z66" s="243">
        <f t="shared" si="31"/>
        <v>5.5299999999999727</v>
      </c>
      <c r="AA66" s="243">
        <f t="shared" si="32"/>
        <v>0</v>
      </c>
      <c r="AB66" s="243" t="str">
        <f t="shared" si="10"/>
        <v/>
      </c>
      <c r="AC66" s="243" t="str">
        <f t="shared" si="25"/>
        <v/>
      </c>
      <c r="AD66" s="243">
        <f t="shared" si="34"/>
        <v>0</v>
      </c>
      <c r="AE66" s="243">
        <f t="shared" si="35"/>
        <v>100</v>
      </c>
      <c r="AF66" s="243">
        <f t="shared" si="36"/>
        <v>0</v>
      </c>
      <c r="AG66" s="243">
        <f t="shared" si="37"/>
        <v>0</v>
      </c>
      <c r="AH66" s="241">
        <v>83.2</v>
      </c>
      <c r="AI66" s="241">
        <v>86.3</v>
      </c>
      <c r="AJ66" s="241">
        <v>86.4</v>
      </c>
      <c r="AK66" s="241">
        <v>88.3</v>
      </c>
      <c r="AL66" s="241">
        <v>65.8</v>
      </c>
      <c r="AM66" s="241">
        <v>65.7</v>
      </c>
      <c r="AN66" s="241">
        <v>64.099999999999994</v>
      </c>
      <c r="AO66" s="241">
        <v>63.7</v>
      </c>
      <c r="AP66" s="241">
        <v>79</v>
      </c>
      <c r="AQ66" s="241">
        <v>80.099999999999994</v>
      </c>
      <c r="AR66" s="241">
        <v>81.400000000000006</v>
      </c>
      <c r="AS66" s="241">
        <v>82</v>
      </c>
    </row>
    <row r="67" spans="1:45" x14ac:dyDescent="0.25">
      <c r="A67" s="81">
        <v>72</v>
      </c>
      <c r="B67" s="91">
        <f>IF(('tuot-VKO'!$J$5&gt;0),$O$5-SUM('tuot-VKO'!$C$11:'tuot-VKO'!C68), )</f>
        <v>9990</v>
      </c>
      <c r="C67" s="92">
        <f>IF(('tuot-VKO'!$J$5&gt;0),100-(SUM('tuot-VKO'!C$11:C68))/$O$5*100, )</f>
        <v>100</v>
      </c>
      <c r="D67" s="93">
        <f t="shared" si="21"/>
        <v>94.794188861985475</v>
      </c>
      <c r="E67" s="94">
        <f>IF(('tuot-VKO'!$J$5&gt;0),('tuot-VKO'!D68+'tuot-VKO'!E68)/7/B67*100, )</f>
        <v>0</v>
      </c>
      <c r="F67" s="95">
        <f>IF(('tuot-VKO'!$J$5&gt;0),'tuot-VKO'!D68/7/B67*100, )</f>
        <v>0</v>
      </c>
      <c r="G67" s="93">
        <f t="shared" si="38"/>
        <v>82.6</v>
      </c>
      <c r="H67" s="92">
        <f t="shared" si="26"/>
        <v>0</v>
      </c>
      <c r="I67" s="93">
        <f t="shared" si="27"/>
        <v>334.01899999999995</v>
      </c>
      <c r="J67" s="94">
        <f>IF('tuot-VKO'!F68&gt;0,'tuot-VKO'!F68,J66)</f>
        <v>0</v>
      </c>
      <c r="K67" s="96">
        <f t="shared" si="39"/>
        <v>65.8</v>
      </c>
      <c r="L67" s="92">
        <f>IF(U67&lt;&gt;0,SUMPRODUCT(($J$10:J67)*($Y$10:Y67)/U67),0)</f>
        <v>0</v>
      </c>
      <c r="M67" s="93">
        <f>IF(V67&lt;&gt;0,SUMPRODUCT(($K$10:K67)*($Z$10:Z67)/V67),0)</f>
        <v>62.600243073481323</v>
      </c>
      <c r="N67" s="91">
        <f t="shared" si="23"/>
        <v>0</v>
      </c>
      <c r="O67" s="97">
        <f t="shared" si="24"/>
        <v>360</v>
      </c>
      <c r="P67" s="98">
        <f t="shared" si="43"/>
        <v>0</v>
      </c>
      <c r="Q67" s="99">
        <f t="shared" si="43"/>
        <v>20.340000000000003</v>
      </c>
      <c r="R67" s="94">
        <f>IF(('tuot-VKO'!$J$5&gt;0),('tuot-VKO'!D68+'tuot-VKO'!E68)/7/$O$5*100,0)</f>
        <v>0</v>
      </c>
      <c r="S67" s="95">
        <f>IF(('tuot-VKO'!$J$5&gt;0),'tuot-VKO'!D68/7/$O$5*100,0)</f>
        <v>0</v>
      </c>
      <c r="T67" s="93">
        <f t="shared" si="40"/>
        <v>78.3</v>
      </c>
      <c r="U67" s="94">
        <f t="shared" si="28"/>
        <v>0</v>
      </c>
      <c r="V67" s="93">
        <f t="shared" si="29"/>
        <v>325.416</v>
      </c>
      <c r="W67" s="245">
        <f t="shared" si="41"/>
        <v>76.817999999999998</v>
      </c>
      <c r="X67" s="245">
        <f t="shared" si="42"/>
        <v>8.2599999999999909</v>
      </c>
      <c r="Y67" s="243">
        <f t="shared" si="30"/>
        <v>0</v>
      </c>
      <c r="Z67" s="243">
        <f t="shared" si="31"/>
        <v>5.4809999999999945</v>
      </c>
      <c r="AA67" s="243">
        <f t="shared" si="32"/>
        <v>0</v>
      </c>
      <c r="AB67" s="243" t="str">
        <f t="shared" si="10"/>
        <v/>
      </c>
      <c r="AC67" s="243" t="str">
        <f t="shared" si="25"/>
        <v/>
      </c>
      <c r="AD67" s="243">
        <f t="shared" si="34"/>
        <v>0</v>
      </c>
      <c r="AE67" s="243">
        <f t="shared" si="35"/>
        <v>100</v>
      </c>
      <c r="AF67" s="243">
        <f t="shared" si="36"/>
        <v>0</v>
      </c>
      <c r="AG67" s="243">
        <f t="shared" si="37"/>
        <v>0</v>
      </c>
      <c r="AH67" s="241">
        <v>82.6</v>
      </c>
      <c r="AI67" s="241">
        <v>85.7</v>
      </c>
      <c r="AJ67" s="241">
        <v>85.9</v>
      </c>
      <c r="AK67" s="241">
        <v>87.6</v>
      </c>
      <c r="AL67" s="241">
        <v>65.8</v>
      </c>
      <c r="AM67" s="241">
        <v>65.8</v>
      </c>
      <c r="AN67" s="241">
        <v>64.2</v>
      </c>
      <c r="AO67" s="241">
        <v>63.7</v>
      </c>
      <c r="AP67" s="241">
        <v>78.3</v>
      </c>
      <c r="AQ67" s="241">
        <v>79.3</v>
      </c>
      <c r="AR67" s="241">
        <v>80.8</v>
      </c>
      <c r="AS67" s="241">
        <v>81.2</v>
      </c>
    </row>
    <row r="68" spans="1:45" x14ac:dyDescent="0.25">
      <c r="A68" s="81">
        <v>73</v>
      </c>
      <c r="B68" s="91">
        <f>IF(('tuot-VKO'!$J$5&gt;0),$O$5-SUM('tuot-VKO'!$C$11:'tuot-VKO'!C69), )</f>
        <v>9990</v>
      </c>
      <c r="C68" s="92">
        <f>IF(('tuot-VKO'!$J$5&gt;0),100-(SUM('tuot-VKO'!C$11:C69))/$O$5*100, )</f>
        <v>100</v>
      </c>
      <c r="D68" s="93">
        <f t="shared" si="21"/>
        <v>94.756097560975618</v>
      </c>
      <c r="E68" s="94">
        <f>IF(('tuot-VKO'!$J$5&gt;0),('tuot-VKO'!D69+'tuot-VKO'!E69)/7/B68*100, )</f>
        <v>0</v>
      </c>
      <c r="F68" s="95">
        <f>IF(('tuot-VKO'!$J$5&gt;0),'tuot-VKO'!D69/7/B68*100, )</f>
        <v>0</v>
      </c>
      <c r="G68" s="93">
        <f t="shared" si="38"/>
        <v>82</v>
      </c>
      <c r="H68" s="92">
        <f t="shared" si="26"/>
        <v>0</v>
      </c>
      <c r="I68" s="93">
        <f t="shared" si="27"/>
        <v>339.75899999999996</v>
      </c>
      <c r="J68" s="94">
        <f>IF('tuot-VKO'!F69&gt;0,'tuot-VKO'!F69,J67)</f>
        <v>0</v>
      </c>
      <c r="K68" s="96">
        <f t="shared" si="39"/>
        <v>65.900000000000006</v>
      </c>
      <c r="L68" s="92">
        <f>IF(U68&lt;&gt;0,SUMPRODUCT(($J$10:J68)*($Y$10:Y68)/U68),0)</f>
        <v>0</v>
      </c>
      <c r="M68" s="93">
        <f>IF(V68&lt;&gt;0,SUMPRODUCT(($K$10:K68)*($Z$10:Z68)/V68),0)</f>
        <v>62.654488522162282</v>
      </c>
      <c r="N68" s="91">
        <f t="shared" si="23"/>
        <v>0</v>
      </c>
      <c r="O68" s="97">
        <f t="shared" si="24"/>
        <v>360</v>
      </c>
      <c r="P68" s="98">
        <f t="shared" si="43"/>
        <v>0</v>
      </c>
      <c r="Q68" s="99">
        <f t="shared" si="43"/>
        <v>20.700000000000003</v>
      </c>
      <c r="R68" s="94">
        <f>IF(('tuot-VKO'!$J$5&gt;0),('tuot-VKO'!D69+'tuot-VKO'!E69)/7/$O$5*100,0)</f>
        <v>0</v>
      </c>
      <c r="S68" s="95">
        <f>IF(('tuot-VKO'!$J$5&gt;0),'tuot-VKO'!D69/7/$O$5*100,0)</f>
        <v>0</v>
      </c>
      <c r="T68" s="93">
        <f t="shared" si="40"/>
        <v>77.7</v>
      </c>
      <c r="U68" s="94">
        <f t="shared" si="28"/>
        <v>0</v>
      </c>
      <c r="V68" s="93">
        <f t="shared" si="29"/>
        <v>330.85500000000002</v>
      </c>
      <c r="W68" s="245">
        <f t="shared" si="41"/>
        <v>76.260000000000005</v>
      </c>
      <c r="X68" s="245">
        <f t="shared" si="42"/>
        <v>8.1999999999999886</v>
      </c>
      <c r="Y68" s="243">
        <f t="shared" si="30"/>
        <v>0</v>
      </c>
      <c r="Z68" s="243">
        <f t="shared" si="31"/>
        <v>5.4390000000000214</v>
      </c>
      <c r="AA68" s="243">
        <f t="shared" si="32"/>
        <v>0</v>
      </c>
      <c r="AB68" s="243" t="str">
        <f t="shared" si="10"/>
        <v/>
      </c>
      <c r="AC68" s="243" t="str">
        <f t="shared" si="25"/>
        <v/>
      </c>
      <c r="AD68" s="243">
        <f t="shared" si="34"/>
        <v>0</v>
      </c>
      <c r="AE68" s="243">
        <f t="shared" si="35"/>
        <v>100</v>
      </c>
      <c r="AF68" s="243">
        <f t="shared" si="36"/>
        <v>0</v>
      </c>
      <c r="AG68" s="243">
        <f t="shared" si="37"/>
        <v>0</v>
      </c>
      <c r="AH68" s="241">
        <v>82</v>
      </c>
      <c r="AI68" s="241">
        <v>84.9</v>
      </c>
      <c r="AJ68" s="241">
        <v>85.4</v>
      </c>
      <c r="AK68" s="241">
        <v>86.9</v>
      </c>
      <c r="AL68" s="241">
        <v>65.900000000000006</v>
      </c>
      <c r="AM68" s="241">
        <v>65.900000000000006</v>
      </c>
      <c r="AN68" s="241">
        <v>64.2</v>
      </c>
      <c r="AO68" s="241">
        <v>63.8</v>
      </c>
      <c r="AP68" s="241">
        <v>77.7</v>
      </c>
      <c r="AQ68" s="241">
        <v>78.400000000000006</v>
      </c>
      <c r="AR68" s="241">
        <v>80.2</v>
      </c>
      <c r="AS68" s="241">
        <v>80.3</v>
      </c>
    </row>
    <row r="69" spans="1:45" x14ac:dyDescent="0.25">
      <c r="A69" s="81">
        <v>74</v>
      </c>
      <c r="B69" s="91">
        <f>IF(('tuot-VKO'!$J$5&gt;0),$O$5-SUM('tuot-VKO'!$C$11:'tuot-VKO'!C70), )</f>
        <v>9990</v>
      </c>
      <c r="C69" s="92">
        <f>IF(('tuot-VKO'!$J$5&gt;0),100-(SUM('tuot-VKO'!C$11:C70))/$O$5*100, )</f>
        <v>100</v>
      </c>
      <c r="D69" s="93">
        <f t="shared" si="21"/>
        <v>94.594594594594582</v>
      </c>
      <c r="E69" s="94">
        <f>IF(('tuot-VKO'!$J$5&gt;0),('tuot-VKO'!D70+'tuot-VKO'!E70)/7/B69*100, )</f>
        <v>0</v>
      </c>
      <c r="F69" s="95">
        <f>IF(('tuot-VKO'!$J$5&gt;0),'tuot-VKO'!D70/7/B69*100, )</f>
        <v>0</v>
      </c>
      <c r="G69" s="93">
        <f t="shared" si="38"/>
        <v>81.400000000000006</v>
      </c>
      <c r="H69" s="92">
        <f t="shared" si="26"/>
        <v>0</v>
      </c>
      <c r="I69" s="93">
        <f t="shared" si="27"/>
        <v>345.45699999999994</v>
      </c>
      <c r="J69" s="94">
        <f>IF('tuot-VKO'!F70&gt;0,'tuot-VKO'!F70,J68)</f>
        <v>0</v>
      </c>
      <c r="K69" s="96">
        <f t="shared" si="39"/>
        <v>65.900000000000006</v>
      </c>
      <c r="L69" s="92">
        <f>IF(U69&lt;&gt;0,SUMPRODUCT(($J$10:J69)*($Y$10:Y69)/U69),0)</f>
        <v>0</v>
      </c>
      <c r="M69" s="93">
        <f>IF(V69&lt;&gt;0,SUMPRODUCT(($K$10:K69)*($Z$10:Z69)/V69),0)</f>
        <v>62.70651400020818</v>
      </c>
      <c r="N69" s="91">
        <f t="shared" si="23"/>
        <v>0</v>
      </c>
      <c r="O69" s="97">
        <f t="shared" si="24"/>
        <v>360</v>
      </c>
      <c r="P69" s="98">
        <f t="shared" si="43"/>
        <v>0</v>
      </c>
      <c r="Q69" s="99">
        <f t="shared" si="43"/>
        <v>21.060000000000002</v>
      </c>
      <c r="R69" s="94">
        <f>IF(('tuot-VKO'!$J$5&gt;0),('tuot-VKO'!D70+'tuot-VKO'!E70)/7/$O$5*100,0)</f>
        <v>0</v>
      </c>
      <c r="S69" s="95">
        <f>IF(('tuot-VKO'!$J$5&gt;0),'tuot-VKO'!D70/7/$O$5*100,0)</f>
        <v>0</v>
      </c>
      <c r="T69" s="93">
        <f t="shared" si="40"/>
        <v>77</v>
      </c>
      <c r="U69" s="94">
        <f t="shared" si="28"/>
        <v>0</v>
      </c>
      <c r="V69" s="93">
        <f t="shared" si="29"/>
        <v>336.245</v>
      </c>
      <c r="W69" s="245">
        <f t="shared" si="41"/>
        <v>75.701999999999998</v>
      </c>
      <c r="X69" s="245">
        <f t="shared" si="42"/>
        <v>8.1400000000000148</v>
      </c>
      <c r="Y69" s="243">
        <f t="shared" si="30"/>
        <v>0</v>
      </c>
      <c r="Z69" s="243">
        <f t="shared" si="31"/>
        <v>5.3899999999999864</v>
      </c>
      <c r="AA69" s="243">
        <f t="shared" si="32"/>
        <v>0</v>
      </c>
      <c r="AB69" s="243" t="str">
        <f t="shared" si="10"/>
        <v/>
      </c>
      <c r="AC69" s="243" t="str">
        <f t="shared" si="25"/>
        <v/>
      </c>
      <c r="AD69" s="243">
        <f t="shared" si="34"/>
        <v>0</v>
      </c>
      <c r="AE69" s="243">
        <f t="shared" si="35"/>
        <v>100</v>
      </c>
      <c r="AF69" s="243">
        <f t="shared" si="36"/>
        <v>0</v>
      </c>
      <c r="AG69" s="243">
        <f t="shared" si="37"/>
        <v>0</v>
      </c>
      <c r="AH69" s="241">
        <v>81.400000000000006</v>
      </c>
      <c r="AI69" s="241">
        <v>84.1</v>
      </c>
      <c r="AJ69" s="241">
        <v>84.9</v>
      </c>
      <c r="AK69" s="241">
        <v>86.1</v>
      </c>
      <c r="AL69" s="241">
        <v>65.900000000000006</v>
      </c>
      <c r="AM69" s="241">
        <v>66</v>
      </c>
      <c r="AN69" s="241">
        <v>64.3</v>
      </c>
      <c r="AO69" s="241">
        <v>63.8</v>
      </c>
      <c r="AP69" s="241">
        <v>77</v>
      </c>
      <c r="AQ69" s="241">
        <v>77.5</v>
      </c>
      <c r="AR69" s="241">
        <v>79.599999999999994</v>
      </c>
      <c r="AS69" s="241">
        <v>79.400000000000006</v>
      </c>
    </row>
    <row r="70" spans="1:45" x14ac:dyDescent="0.25">
      <c r="A70" s="100">
        <v>75</v>
      </c>
      <c r="B70" s="101">
        <f>IF(('tuot-VKO'!$J$5&gt;0),$O$5-SUM('tuot-VKO'!$C$11:'tuot-VKO'!C71), )</f>
        <v>9990</v>
      </c>
      <c r="C70" s="102">
        <f>IF(('tuot-VKO'!$J$5&gt;0),100-(SUM('tuot-VKO'!C$11:C71))/$O$5*100, )</f>
        <v>100</v>
      </c>
      <c r="D70" s="103">
        <f t="shared" si="21"/>
        <v>94.554455445544562</v>
      </c>
      <c r="E70" s="104">
        <f>IF(('tuot-VKO'!$J$5&gt;0),('tuot-VKO'!D71+'tuot-VKO'!E71)/7/B70*100, )</f>
        <v>0</v>
      </c>
      <c r="F70" s="105">
        <f>IF(('tuot-VKO'!$J$5&gt;0),'tuot-VKO'!D71/7/B70*100, )</f>
        <v>0</v>
      </c>
      <c r="G70" s="103">
        <f t="shared" si="38"/>
        <v>80.8</v>
      </c>
      <c r="H70" s="102">
        <f t="shared" si="26"/>
        <v>0</v>
      </c>
      <c r="I70" s="103">
        <f t="shared" si="27"/>
        <v>351.11299999999994</v>
      </c>
      <c r="J70" s="104">
        <f>IF('tuot-VKO'!F71&gt;0,'tuot-VKO'!F71,J69)</f>
        <v>0</v>
      </c>
      <c r="K70" s="106">
        <f t="shared" si="39"/>
        <v>65.900000000000006</v>
      </c>
      <c r="L70" s="102">
        <f>IF(U70&lt;&gt;0,SUMPRODUCT(($J$10:J70)*($Y$10:Y70)/U70),0)</f>
        <v>0</v>
      </c>
      <c r="M70" s="103">
        <f>IF(V70&lt;&gt;0,SUMPRODUCT(($K$10:K70)*($Z$10:Z70)/V70),0)</f>
        <v>62.756511403922211</v>
      </c>
      <c r="N70" s="101">
        <f t="shared" si="23"/>
        <v>0</v>
      </c>
      <c r="O70" s="107">
        <f t="shared" si="24"/>
        <v>350</v>
      </c>
      <c r="P70" s="108">
        <f t="shared" si="43"/>
        <v>0</v>
      </c>
      <c r="Q70" s="109">
        <f t="shared" si="43"/>
        <v>21.410000000000004</v>
      </c>
      <c r="R70" s="104">
        <f>IF(('tuot-VKO'!$J$5&gt;0),('tuot-VKO'!D71+'tuot-VKO'!E71)/7/$O$5*100,0)</f>
        <v>0</v>
      </c>
      <c r="S70" s="105">
        <f>IF(('tuot-VKO'!$J$5&gt;0),'tuot-VKO'!D71/7/$O$5*100,0)</f>
        <v>0</v>
      </c>
      <c r="T70" s="103">
        <f t="shared" si="40"/>
        <v>76.400000000000006</v>
      </c>
      <c r="U70" s="104">
        <f t="shared" si="28"/>
        <v>0</v>
      </c>
      <c r="V70" s="103">
        <f t="shared" si="29"/>
        <v>341.59300000000002</v>
      </c>
      <c r="W70" s="245">
        <f t="shared" si="41"/>
        <v>75.143999999999991</v>
      </c>
      <c r="X70" s="245">
        <f t="shared" si="42"/>
        <v>8.0800000000000125</v>
      </c>
      <c r="Y70" s="243">
        <f t="shared" si="30"/>
        <v>0</v>
      </c>
      <c r="Z70" s="243">
        <f t="shared" si="31"/>
        <v>5.3480000000000132</v>
      </c>
      <c r="AA70" s="243">
        <f t="shared" si="32"/>
        <v>0</v>
      </c>
      <c r="AB70" s="243" t="str">
        <f t="shared" si="10"/>
        <v/>
      </c>
      <c r="AC70" s="243" t="str">
        <f t="shared" si="25"/>
        <v/>
      </c>
      <c r="AD70" s="243">
        <f t="shared" si="34"/>
        <v>0</v>
      </c>
      <c r="AE70" s="243">
        <f t="shared" si="35"/>
        <v>100</v>
      </c>
      <c r="AF70" s="243">
        <f t="shared" si="36"/>
        <v>0</v>
      </c>
      <c r="AG70" s="243">
        <f t="shared" si="37"/>
        <v>0</v>
      </c>
      <c r="AH70" s="241">
        <v>80.8</v>
      </c>
      <c r="AI70" s="241">
        <v>83.2</v>
      </c>
      <c r="AJ70" s="241">
        <v>84.4</v>
      </c>
      <c r="AK70" s="241">
        <v>85.3</v>
      </c>
      <c r="AL70" s="241">
        <v>65.900000000000006</v>
      </c>
      <c r="AM70" s="241">
        <v>66.099999999999994</v>
      </c>
      <c r="AN70" s="241">
        <v>64.3</v>
      </c>
      <c r="AO70" s="241">
        <v>63.9</v>
      </c>
      <c r="AP70" s="241">
        <v>76.400000000000006</v>
      </c>
      <c r="AQ70" s="241">
        <v>76.5</v>
      </c>
      <c r="AR70" s="241">
        <v>79</v>
      </c>
      <c r="AS70" s="241">
        <v>78.5</v>
      </c>
    </row>
    <row r="71" spans="1:45" x14ac:dyDescent="0.25">
      <c r="A71" s="81">
        <v>76</v>
      </c>
      <c r="B71" s="91">
        <f>IF(('tuot-VKO'!$J$5&gt;0),$O$5-SUM('tuot-VKO'!$C$11:'tuot-VKO'!C72), )</f>
        <v>9990</v>
      </c>
      <c r="C71" s="92">
        <f>IF(('tuot-VKO'!$J$5&gt;0),100-(SUM('tuot-VKO'!C$11:C72))/$O$5*100, )</f>
        <v>100</v>
      </c>
      <c r="D71" s="93">
        <f t="shared" si="21"/>
        <v>94.389027431421439</v>
      </c>
      <c r="E71" s="94">
        <f>IF(('tuot-VKO'!$J$5&gt;0),('tuot-VKO'!D72+'tuot-VKO'!E72)/7/B71*100, )</f>
        <v>0</v>
      </c>
      <c r="F71" s="95">
        <f>IF(('tuot-VKO'!$J$5&gt;0),'tuot-VKO'!D72/7/B71*100, )</f>
        <v>0</v>
      </c>
      <c r="G71" s="93">
        <f t="shared" si="38"/>
        <v>80.2</v>
      </c>
      <c r="H71" s="92">
        <f t="shared" si="26"/>
        <v>0</v>
      </c>
      <c r="I71" s="93">
        <f t="shared" si="27"/>
        <v>356.72699999999992</v>
      </c>
      <c r="J71" s="94">
        <f>IF('tuot-VKO'!F72&gt;0,'tuot-VKO'!F72,J70)</f>
        <v>0</v>
      </c>
      <c r="K71" s="96">
        <f t="shared" si="39"/>
        <v>65.900000000000006</v>
      </c>
      <c r="L71" s="92">
        <f>IF(U71&lt;&gt;0,SUMPRODUCT(($J$10:J71)*($Y$10:Y71)/U71),0)</f>
        <v>0</v>
      </c>
      <c r="M71" s="93">
        <f>IF(V71&lt;&gt;0,SUMPRODUCT(($K$10:K71)*($Z$10:Z71)/V71),0)</f>
        <v>62.80453022842844</v>
      </c>
      <c r="N71" s="91">
        <f t="shared" si="23"/>
        <v>0</v>
      </c>
      <c r="O71" s="97">
        <f t="shared" si="24"/>
        <v>350</v>
      </c>
      <c r="P71" s="98">
        <f t="shared" si="43"/>
        <v>0</v>
      </c>
      <c r="Q71" s="99">
        <f t="shared" si="43"/>
        <v>21.760000000000005</v>
      </c>
      <c r="R71" s="94">
        <f>IF(('tuot-VKO'!$J$5&gt;0),('tuot-VKO'!D72+'tuot-VKO'!E72)/7/$O$5*100,0)</f>
        <v>0</v>
      </c>
      <c r="S71" s="95">
        <f>IF(('tuot-VKO'!$J$5&gt;0),'tuot-VKO'!D72/7/$O$5*100,0)</f>
        <v>0</v>
      </c>
      <c r="T71" s="93">
        <f t="shared" si="40"/>
        <v>75.7</v>
      </c>
      <c r="U71" s="94">
        <f t="shared" si="28"/>
        <v>0</v>
      </c>
      <c r="V71" s="93">
        <f t="shared" si="29"/>
        <v>346.892</v>
      </c>
      <c r="W71" s="245">
        <f t="shared" si="41"/>
        <v>74.585999999999999</v>
      </c>
      <c r="X71" s="245">
        <f t="shared" si="42"/>
        <v>8.0200000000000102</v>
      </c>
      <c r="Y71" s="243">
        <f t="shared" si="30"/>
        <v>0</v>
      </c>
      <c r="Z71" s="243">
        <f t="shared" si="31"/>
        <v>5.2989999999999782</v>
      </c>
      <c r="AA71" s="243">
        <f t="shared" si="32"/>
        <v>0</v>
      </c>
      <c r="AB71" s="243" t="str">
        <f t="shared" si="10"/>
        <v/>
      </c>
      <c r="AC71" s="243" t="str">
        <f t="shared" si="25"/>
        <v/>
      </c>
      <c r="AD71" s="243">
        <f t="shared" si="34"/>
        <v>0</v>
      </c>
      <c r="AE71" s="243">
        <f t="shared" si="35"/>
        <v>100</v>
      </c>
      <c r="AF71" s="243">
        <f t="shared" si="36"/>
        <v>0</v>
      </c>
      <c r="AG71" s="243">
        <f t="shared" si="37"/>
        <v>0</v>
      </c>
      <c r="AH71" s="241">
        <v>80.2</v>
      </c>
      <c r="AI71" s="241">
        <v>82.3</v>
      </c>
      <c r="AJ71" s="241">
        <v>83.9</v>
      </c>
      <c r="AK71" s="241">
        <v>84.5</v>
      </c>
      <c r="AL71" s="241">
        <v>65.900000000000006</v>
      </c>
      <c r="AM71" s="241">
        <v>66.099999999999994</v>
      </c>
      <c r="AN71" s="241">
        <v>64.400000000000006</v>
      </c>
      <c r="AO71" s="241">
        <v>63.9</v>
      </c>
      <c r="AP71" s="241">
        <v>75.7</v>
      </c>
      <c r="AQ71" s="241">
        <v>75.5</v>
      </c>
      <c r="AR71" s="241">
        <v>78.400000000000006</v>
      </c>
      <c r="AS71" s="241">
        <v>77.599999999999994</v>
      </c>
    </row>
    <row r="72" spans="1:45" x14ac:dyDescent="0.25">
      <c r="A72" s="81">
        <v>77</v>
      </c>
      <c r="B72" s="91">
        <f>IF(('tuot-VKO'!$J$5&gt;0),$O$5-SUM('tuot-VKO'!$C$11:'tuot-VKO'!C73), )</f>
        <v>9990</v>
      </c>
      <c r="C72" s="92">
        <f>IF(('tuot-VKO'!$J$5&gt;0),100-(SUM('tuot-VKO'!C$11:C73))/$O$5*100, )</f>
        <v>100</v>
      </c>
      <c r="D72" s="93">
        <f t="shared" si="21"/>
        <v>94.346733668341713</v>
      </c>
      <c r="E72" s="94">
        <f>IF(('tuot-VKO'!$J$5&gt;0),('tuot-VKO'!D73+'tuot-VKO'!E73)/7/B72*100, )</f>
        <v>0</v>
      </c>
      <c r="F72" s="95">
        <f>IF(('tuot-VKO'!$J$5&gt;0),'tuot-VKO'!D73/7/B72*100, )</f>
        <v>0</v>
      </c>
      <c r="G72" s="93">
        <f t="shared" si="38"/>
        <v>79.599999999999994</v>
      </c>
      <c r="H72" s="92">
        <f t="shared" si="26"/>
        <v>0</v>
      </c>
      <c r="I72" s="93">
        <f t="shared" si="27"/>
        <v>362.29899999999992</v>
      </c>
      <c r="J72" s="94">
        <f>IF('tuot-VKO'!F73&gt;0,'tuot-VKO'!F73,J71)</f>
        <v>0</v>
      </c>
      <c r="K72" s="96">
        <f t="shared" si="39"/>
        <v>66</v>
      </c>
      <c r="L72" s="92">
        <f>IF(U72&lt;&gt;0,SUMPRODUCT(($J$10:J72)*($Y$10:Y72)/U72),0)</f>
        <v>0</v>
      </c>
      <c r="M72" s="93">
        <f>IF(V72&lt;&gt;0,SUMPRODUCT(($K$10:K72)*($Z$10:Z72)/V72),0)</f>
        <v>62.852233287614055</v>
      </c>
      <c r="N72" s="91">
        <f t="shared" si="23"/>
        <v>0</v>
      </c>
      <c r="O72" s="97">
        <f t="shared" si="24"/>
        <v>350</v>
      </c>
      <c r="P72" s="98">
        <f t="shared" si="43"/>
        <v>0</v>
      </c>
      <c r="Q72" s="99">
        <f t="shared" si="43"/>
        <v>22.110000000000007</v>
      </c>
      <c r="R72" s="94">
        <f>IF(('tuot-VKO'!$J$5&gt;0),('tuot-VKO'!D73+'tuot-VKO'!E73)/7/$O$5*100,0)</f>
        <v>0</v>
      </c>
      <c r="S72" s="95">
        <f>IF(('tuot-VKO'!$J$5&gt;0),'tuot-VKO'!D73/7/$O$5*100,0)</f>
        <v>0</v>
      </c>
      <c r="T72" s="93">
        <f t="shared" si="40"/>
        <v>75.099999999999994</v>
      </c>
      <c r="U72" s="94">
        <f t="shared" si="28"/>
        <v>0</v>
      </c>
      <c r="V72" s="93">
        <f t="shared" si="29"/>
        <v>352.149</v>
      </c>
      <c r="W72" s="245">
        <f t="shared" si="41"/>
        <v>74.027999999999992</v>
      </c>
      <c r="X72" s="245">
        <f t="shared" si="42"/>
        <v>7.960000000000008</v>
      </c>
      <c r="Y72" s="243">
        <f t="shared" si="30"/>
        <v>0</v>
      </c>
      <c r="Z72" s="243">
        <f t="shared" si="31"/>
        <v>5.257000000000005</v>
      </c>
      <c r="AA72" s="243">
        <f t="shared" si="32"/>
        <v>0</v>
      </c>
      <c r="AB72" s="243" t="str">
        <f t="shared" si="10"/>
        <v/>
      </c>
      <c r="AC72" s="243" t="str">
        <f t="shared" si="25"/>
        <v/>
      </c>
      <c r="AD72" s="243">
        <f t="shared" si="34"/>
        <v>0</v>
      </c>
      <c r="AE72" s="243">
        <f t="shared" si="35"/>
        <v>100</v>
      </c>
      <c r="AF72" s="243">
        <f t="shared" si="36"/>
        <v>0</v>
      </c>
      <c r="AG72" s="243">
        <f t="shared" si="37"/>
        <v>0</v>
      </c>
      <c r="AH72" s="241">
        <v>79.599999999999994</v>
      </c>
      <c r="AI72" s="241">
        <v>81.400000000000006</v>
      </c>
      <c r="AJ72" s="241">
        <v>83.3</v>
      </c>
      <c r="AK72" s="241">
        <v>83.7</v>
      </c>
      <c r="AL72" s="241">
        <v>66</v>
      </c>
      <c r="AM72" s="241">
        <v>66.2</v>
      </c>
      <c r="AN72" s="241">
        <v>64.400000000000006</v>
      </c>
      <c r="AO72" s="241">
        <v>64</v>
      </c>
      <c r="AP72" s="241">
        <v>75.099999999999994</v>
      </c>
      <c r="AQ72" s="241">
        <v>74.5</v>
      </c>
      <c r="AR72" s="241">
        <v>77.7</v>
      </c>
      <c r="AS72" s="241">
        <v>76.7</v>
      </c>
    </row>
    <row r="73" spans="1:45" x14ac:dyDescent="0.25">
      <c r="A73" s="81">
        <v>78</v>
      </c>
      <c r="B73" s="91">
        <f>IF(('tuot-VKO'!$J$5&gt;0),$O$5-SUM('tuot-VKO'!$C$11:'tuot-VKO'!C74), )</f>
        <v>9990</v>
      </c>
      <c r="C73" s="92">
        <f>IF(('tuot-VKO'!$J$5&gt;0),100-(SUM('tuot-VKO'!C$11:C74))/$O$5*100, )</f>
        <v>100</v>
      </c>
      <c r="D73" s="93">
        <f t="shared" si="21"/>
        <v>94.177215189873422</v>
      </c>
      <c r="E73" s="94">
        <f>IF(('tuot-VKO'!$J$5&gt;0),('tuot-VKO'!D74+'tuot-VKO'!E74)/7/B73*100, )</f>
        <v>0</v>
      </c>
      <c r="F73" s="95">
        <f>IF(('tuot-VKO'!$J$5&gt;0),'tuot-VKO'!D74/7/B73*100, )</f>
        <v>0</v>
      </c>
      <c r="G73" s="93">
        <f t="shared" si="38"/>
        <v>79</v>
      </c>
      <c r="H73" s="92">
        <f t="shared" si="26"/>
        <v>0</v>
      </c>
      <c r="I73" s="93">
        <f t="shared" si="27"/>
        <v>367.82899999999989</v>
      </c>
      <c r="J73" s="94">
        <f>IF('tuot-VKO'!F74&gt;0,'tuot-VKO'!F74,J72)</f>
        <v>0</v>
      </c>
      <c r="K73" s="96">
        <f t="shared" si="39"/>
        <v>66</v>
      </c>
      <c r="L73" s="92">
        <f>IF(U73&lt;&gt;0,SUMPRODUCT(($J$10:J73)*($Y$10:Y73)/U73),0)</f>
        <v>0</v>
      </c>
      <c r="M73" s="93">
        <f>IF(V73&lt;&gt;0,SUMPRODUCT(($K$10:K73)*($Z$10:Z73)/V73),0)</f>
        <v>62.898107774578342</v>
      </c>
      <c r="N73" s="91">
        <f t="shared" si="23"/>
        <v>0</v>
      </c>
      <c r="O73" s="97">
        <f t="shared" si="24"/>
        <v>340</v>
      </c>
      <c r="P73" s="98">
        <f t="shared" si="43"/>
        <v>0</v>
      </c>
      <c r="Q73" s="99">
        <f t="shared" si="43"/>
        <v>22.450000000000006</v>
      </c>
      <c r="R73" s="94">
        <f>IF(('tuot-VKO'!$J$5&gt;0),('tuot-VKO'!D74+'tuot-VKO'!E74)/7/$O$5*100,0)</f>
        <v>0</v>
      </c>
      <c r="S73" s="95">
        <f>IF(('tuot-VKO'!$J$5&gt;0),'tuot-VKO'!D74/7/$O$5*100,0)</f>
        <v>0</v>
      </c>
      <c r="T73" s="93">
        <f t="shared" si="40"/>
        <v>74.400000000000006</v>
      </c>
      <c r="U73" s="94">
        <f t="shared" si="28"/>
        <v>0</v>
      </c>
      <c r="V73" s="93">
        <f t="shared" si="29"/>
        <v>357.35700000000003</v>
      </c>
      <c r="W73" s="245">
        <f t="shared" si="41"/>
        <v>73.47</v>
      </c>
      <c r="X73" s="245">
        <f t="shared" si="42"/>
        <v>7.9000000000000057</v>
      </c>
      <c r="Y73" s="243">
        <f t="shared" si="30"/>
        <v>0</v>
      </c>
      <c r="Z73" s="243">
        <f t="shared" si="31"/>
        <v>5.2080000000000268</v>
      </c>
      <c r="AA73" s="243">
        <f t="shared" si="32"/>
        <v>0</v>
      </c>
      <c r="AB73" s="243" t="str">
        <f t="shared" si="10"/>
        <v/>
      </c>
      <c r="AC73" s="243" t="str">
        <f t="shared" si="25"/>
        <v/>
      </c>
      <c r="AD73" s="243">
        <f t="shared" si="34"/>
        <v>0</v>
      </c>
      <c r="AE73" s="243">
        <f t="shared" si="35"/>
        <v>100</v>
      </c>
      <c r="AF73" s="243">
        <f t="shared" si="36"/>
        <v>0</v>
      </c>
      <c r="AG73" s="243">
        <f t="shared" si="37"/>
        <v>0</v>
      </c>
      <c r="AH73" s="241">
        <v>79</v>
      </c>
      <c r="AI73" s="241">
        <v>80.400000000000006</v>
      </c>
      <c r="AJ73" s="241">
        <v>82.7</v>
      </c>
      <c r="AK73" s="241">
        <v>82.9</v>
      </c>
      <c r="AL73" s="241">
        <v>66</v>
      </c>
      <c r="AM73" s="241">
        <v>66.2</v>
      </c>
      <c r="AN73" s="241">
        <v>64.5</v>
      </c>
      <c r="AO73" s="241">
        <v>64</v>
      </c>
      <c r="AP73" s="241">
        <v>74.400000000000006</v>
      </c>
      <c r="AQ73" s="241">
        <v>73.5</v>
      </c>
      <c r="AR73" s="241">
        <v>77</v>
      </c>
      <c r="AS73" s="241">
        <v>75.8</v>
      </c>
    </row>
    <row r="74" spans="1:45" x14ac:dyDescent="0.25">
      <c r="A74" s="81">
        <v>79</v>
      </c>
      <c r="B74" s="91">
        <f>IF(('tuot-VKO'!$J$5&gt;0),$O$5-SUM('tuot-VKO'!$C$11:'tuot-VKO'!C75), )</f>
        <v>9990</v>
      </c>
      <c r="C74" s="92">
        <f>IF(('tuot-VKO'!$J$5&gt;0),100-(SUM('tuot-VKO'!C$11:C75))/$O$5*100, )</f>
        <v>100</v>
      </c>
      <c r="D74" s="93">
        <f t="shared" si="21"/>
        <v>94.005102040816325</v>
      </c>
      <c r="E74" s="94">
        <f>IF(('tuot-VKO'!$J$5&gt;0),('tuot-VKO'!D75+'tuot-VKO'!E75)/7/B74*100, )</f>
        <v>0</v>
      </c>
      <c r="F74" s="95">
        <f>IF(('tuot-VKO'!$J$5&gt;0),'tuot-VKO'!D75/7/B74*100, )</f>
        <v>0</v>
      </c>
      <c r="G74" s="93">
        <f t="shared" si="38"/>
        <v>78.400000000000006</v>
      </c>
      <c r="H74" s="92">
        <f t="shared" si="26"/>
        <v>0</v>
      </c>
      <c r="I74" s="93">
        <f t="shared" si="27"/>
        <v>373.31699999999989</v>
      </c>
      <c r="J74" s="94">
        <f>IF('tuot-VKO'!F75&gt;0,'tuot-VKO'!F75,J73)</f>
        <v>0</v>
      </c>
      <c r="K74" s="96">
        <f t="shared" si="39"/>
        <v>66</v>
      </c>
      <c r="L74" s="92">
        <f>IF(U74&lt;&gt;0,SUMPRODUCT(($J$10:J74)*($Y$10:Y74)/U74),0)</f>
        <v>0</v>
      </c>
      <c r="M74" s="93">
        <f>IF(V74&lt;&gt;0,SUMPRODUCT(($K$10:K74)*($Z$10:Z74)/V74),0)</f>
        <v>62.942251100641059</v>
      </c>
      <c r="N74" s="91">
        <f t="shared" ref="N74:N105" si="44">J74*Y74</f>
        <v>0</v>
      </c>
      <c r="O74" s="97">
        <f t="shared" ref="O74:O105" si="45">ROUND(K74*Z74/10,0)*10</f>
        <v>340</v>
      </c>
      <c r="P74" s="98">
        <f t="shared" si="43"/>
        <v>0</v>
      </c>
      <c r="Q74" s="99">
        <f t="shared" si="43"/>
        <v>22.790000000000006</v>
      </c>
      <c r="R74" s="94">
        <f>IF(('tuot-VKO'!$J$5&gt;0),('tuot-VKO'!D75+'tuot-VKO'!E75)/7/$O$5*100,0)</f>
        <v>0</v>
      </c>
      <c r="S74" s="95">
        <f>IF(('tuot-VKO'!$J$5&gt;0),'tuot-VKO'!D75/7/$O$5*100,0)</f>
        <v>0</v>
      </c>
      <c r="T74" s="93">
        <f t="shared" si="40"/>
        <v>73.7</v>
      </c>
      <c r="U74" s="94">
        <f t="shared" si="28"/>
        <v>0</v>
      </c>
      <c r="V74" s="93">
        <f t="shared" si="29"/>
        <v>362.51600000000002</v>
      </c>
      <c r="W74" s="245">
        <f t="shared" si="41"/>
        <v>72.912000000000006</v>
      </c>
      <c r="X74" s="245">
        <f t="shared" si="42"/>
        <v>7.8400000000000034</v>
      </c>
      <c r="Y74" s="243">
        <f t="shared" si="30"/>
        <v>0</v>
      </c>
      <c r="Z74" s="243">
        <f t="shared" si="31"/>
        <v>5.1589999999999918</v>
      </c>
      <c r="AA74" s="243">
        <f t="shared" si="32"/>
        <v>0</v>
      </c>
      <c r="AB74" s="243" t="str">
        <f t="shared" si="10"/>
        <v/>
      </c>
      <c r="AC74" s="243" t="str">
        <f t="shared" ref="AC74:AC105" si="46">IF(F74&gt;0,(IF(G74&gt;=90,G74,"" )),"")</f>
        <v/>
      </c>
      <c r="AD74" s="243">
        <f t="shared" si="34"/>
        <v>0</v>
      </c>
      <c r="AE74" s="243">
        <f t="shared" si="35"/>
        <v>100</v>
      </c>
      <c r="AF74" s="243">
        <f t="shared" si="36"/>
        <v>0</v>
      </c>
      <c r="AG74" s="243">
        <f t="shared" si="37"/>
        <v>0</v>
      </c>
      <c r="AH74" s="241">
        <v>78.400000000000006</v>
      </c>
      <c r="AI74" s="241">
        <v>79.5</v>
      </c>
      <c r="AJ74" s="241">
        <v>82.1</v>
      </c>
      <c r="AK74" s="241">
        <v>82</v>
      </c>
      <c r="AL74" s="241">
        <v>66</v>
      </c>
      <c r="AM74" s="241">
        <v>66.3</v>
      </c>
      <c r="AN74" s="241">
        <v>64.5</v>
      </c>
      <c r="AO74" s="241">
        <v>64.099999999999994</v>
      </c>
      <c r="AP74" s="241">
        <v>73.7</v>
      </c>
      <c r="AQ74" s="241">
        <v>72.5</v>
      </c>
      <c r="AR74" s="241">
        <v>76.3</v>
      </c>
      <c r="AS74" s="241">
        <v>74.8</v>
      </c>
    </row>
    <row r="75" spans="1:45" x14ac:dyDescent="0.25">
      <c r="A75" s="100">
        <v>80</v>
      </c>
      <c r="B75" s="201">
        <f>IF(('tuot-VKO'!$J$5&gt;0),$O$5-SUM('tuot-VKO'!$C$11:'tuot-VKO'!C76), )</f>
        <v>9990</v>
      </c>
      <c r="C75" s="202">
        <f>IF(('tuot-VKO'!$J$5&gt;0),100-(SUM('tuot-VKO'!C$11:C76))/$O$5*100, )</f>
        <v>100</v>
      </c>
      <c r="D75" s="103">
        <f t="shared" si="21"/>
        <v>93.958868894601551</v>
      </c>
      <c r="E75" s="203">
        <f>IF(('tuot-VKO'!$J$5&gt;0),('tuot-VKO'!D76+'tuot-VKO'!E76)/7/B75*100, )</f>
        <v>0</v>
      </c>
      <c r="F75" s="204">
        <f>IF(('tuot-VKO'!$J$5&gt;0),'tuot-VKO'!D76/7/B75*100, )</f>
        <v>0</v>
      </c>
      <c r="G75" s="103">
        <f t="shared" si="38"/>
        <v>77.8</v>
      </c>
      <c r="H75" s="102">
        <f t="shared" ref="H75:H106" si="47">7*E75/100+H74</f>
        <v>0</v>
      </c>
      <c r="I75" s="103">
        <f t="shared" ref="I75:I106" si="48">IF(ISNUMBER(G75),7*G75/100+I74, )</f>
        <v>378.76299999999992</v>
      </c>
      <c r="J75" s="203">
        <f>IF('tuot-VKO'!F76&gt;0,'tuot-VKO'!F76,J74)</f>
        <v>0</v>
      </c>
      <c r="K75" s="106">
        <f t="shared" si="39"/>
        <v>66</v>
      </c>
      <c r="L75" s="102">
        <f>IF(U75&lt;&gt;0,SUMPRODUCT(($J$10:J75)*($Y$10:Y75)/U75),0)</f>
        <v>0</v>
      </c>
      <c r="M75" s="103">
        <f>IF(V75&lt;&gt;0,SUMPRODUCT(($K$10:K75)*($Z$10:Z75)/V75),0)</f>
        <v>62.984811211180705</v>
      </c>
      <c r="N75" s="101">
        <f t="shared" si="44"/>
        <v>0</v>
      </c>
      <c r="O75" s="107">
        <f t="shared" si="45"/>
        <v>340</v>
      </c>
      <c r="P75" s="108">
        <f t="shared" si="43"/>
        <v>0</v>
      </c>
      <c r="Q75" s="109">
        <f t="shared" si="43"/>
        <v>23.130000000000006</v>
      </c>
      <c r="R75" s="104">
        <f>IF(('tuot-VKO'!$J$5&gt;0),('tuot-VKO'!D76+'tuot-VKO'!E76)/7/$O$5*100,0)</f>
        <v>0</v>
      </c>
      <c r="S75" s="105">
        <f>IF(('tuot-VKO'!$J$5&gt;0),'tuot-VKO'!D76/7/$O$5*100,0)</f>
        <v>0</v>
      </c>
      <c r="T75" s="103">
        <f t="shared" si="40"/>
        <v>73.099999999999994</v>
      </c>
      <c r="U75" s="104">
        <f t="shared" ref="U75:U106" si="49">7*R75/100+U74</f>
        <v>0</v>
      </c>
      <c r="V75" s="103">
        <f t="shared" ref="V75:V106" si="50">IF(ISNUMBER(T75),7*T75/100+V74, )</f>
        <v>367.63300000000004</v>
      </c>
      <c r="W75" s="245">
        <f t="shared" si="41"/>
        <v>72.353999999999999</v>
      </c>
      <c r="X75" s="245">
        <f t="shared" si="42"/>
        <v>7.7800000000000011</v>
      </c>
      <c r="Y75" s="243">
        <f t="shared" ref="Y75:Y106" si="51">U75-U74</f>
        <v>0</v>
      </c>
      <c r="Z75" s="243">
        <f t="shared" ref="Z75:Z106" si="52">V75-V74</f>
        <v>5.1170000000000186</v>
      </c>
      <c r="AA75" s="243">
        <f t="shared" ref="AA75:AA106" si="53">IF(N75&gt;0,N75/7,AA74)</f>
        <v>0</v>
      </c>
      <c r="AB75" s="243" t="str">
        <f t="shared" ref="AB75:AB115" si="54">IF(E75&gt;=90,E75,"" )</f>
        <v/>
      </c>
      <c r="AC75" s="243" t="str">
        <f t="shared" si="46"/>
        <v/>
      </c>
      <c r="AD75" s="243">
        <f t="shared" si="34"/>
        <v>0</v>
      </c>
      <c r="AE75" s="243">
        <f t="shared" si="35"/>
        <v>100</v>
      </c>
      <c r="AF75" s="243">
        <f t="shared" si="36"/>
        <v>0</v>
      </c>
      <c r="AG75" s="243">
        <f t="shared" si="37"/>
        <v>0</v>
      </c>
      <c r="AH75" s="241">
        <v>77.8</v>
      </c>
      <c r="AI75" s="241">
        <v>78.599999999999994</v>
      </c>
      <c r="AJ75" s="241">
        <v>81.400000000000006</v>
      </c>
      <c r="AK75" s="241">
        <v>81</v>
      </c>
      <c r="AL75" s="241">
        <v>66</v>
      </c>
      <c r="AM75" s="241">
        <v>66.3</v>
      </c>
      <c r="AN75" s="241">
        <v>64.599999999999994</v>
      </c>
      <c r="AO75" s="241">
        <v>64.099999999999994</v>
      </c>
      <c r="AP75" s="241">
        <v>73.099999999999994</v>
      </c>
      <c r="AQ75" s="241">
        <v>71.5</v>
      </c>
      <c r="AR75" s="241">
        <v>75.599999999999994</v>
      </c>
      <c r="AS75" s="241">
        <v>73.8</v>
      </c>
    </row>
    <row r="76" spans="1:45" x14ac:dyDescent="0.25">
      <c r="A76" s="81">
        <v>81</v>
      </c>
      <c r="B76" s="91">
        <f>IF(('tuot-VKO'!$J$5&gt;0),$O$5-SUM('tuot-VKO'!$C$11:'tuot-VKO'!C77), )</f>
        <v>9990</v>
      </c>
      <c r="C76" s="92">
        <f>IF(('tuot-VKO'!$J$5&gt;0),100-(SUM('tuot-VKO'!C$11:C77))/$O$5*100, )</f>
        <v>100</v>
      </c>
      <c r="D76" s="93">
        <f t="shared" si="21"/>
        <v>93.904020752269787</v>
      </c>
      <c r="E76" s="94">
        <f>IF(('tuot-VKO'!$J$5&gt;0),('tuot-VKO'!D77+'tuot-VKO'!E77)/7/B76*100, )</f>
        <v>0</v>
      </c>
      <c r="F76" s="95">
        <f>IF(('tuot-VKO'!$J$5&gt;0),'tuot-VKO'!D77/7/B76*100, )</f>
        <v>0</v>
      </c>
      <c r="G76" s="93">
        <f t="shared" si="38"/>
        <v>77.099999999999994</v>
      </c>
      <c r="H76" s="92">
        <f t="shared" si="47"/>
        <v>0</v>
      </c>
      <c r="I76" s="93">
        <f t="shared" si="48"/>
        <v>384.15999999999991</v>
      </c>
      <c r="J76" s="94">
        <f>IF('tuot-VKO'!F77&gt;0,'tuot-VKO'!F77,J75)</f>
        <v>0</v>
      </c>
      <c r="K76" s="96">
        <f t="shared" si="39"/>
        <v>66.099999999999994</v>
      </c>
      <c r="L76" s="92">
        <f>IF(U76&lt;&gt;0,SUMPRODUCT(($J$10:J76)*($Y$10:Y76)/U76),0)</f>
        <v>0</v>
      </c>
      <c r="M76" s="93">
        <f>IF(V76&lt;&gt;0,SUMPRODUCT(($K$10:K76)*($Z$10:Z76)/V76),0)</f>
        <v>63.027171646977052</v>
      </c>
      <c r="N76" s="91">
        <f t="shared" si="44"/>
        <v>0</v>
      </c>
      <c r="O76" s="97">
        <f t="shared" si="45"/>
        <v>330</v>
      </c>
      <c r="P76" s="98">
        <f t="shared" ref="P76:Q91" si="55">P75+N76/1000</f>
        <v>0</v>
      </c>
      <c r="Q76" s="99">
        <f t="shared" si="55"/>
        <v>23.460000000000004</v>
      </c>
      <c r="R76" s="94">
        <f>IF(('tuot-VKO'!$J$5&gt;0),('tuot-VKO'!D77+'tuot-VKO'!E77)/7/$O$5*100,0)</f>
        <v>0</v>
      </c>
      <c r="S76" s="95">
        <f>IF(('tuot-VKO'!$J$5&gt;0),'tuot-VKO'!D77/7/$O$5*100,0)</f>
        <v>0</v>
      </c>
      <c r="T76" s="93">
        <f t="shared" si="40"/>
        <v>72.400000000000006</v>
      </c>
      <c r="U76" s="94">
        <f t="shared" si="49"/>
        <v>0</v>
      </c>
      <c r="V76" s="93">
        <f t="shared" si="50"/>
        <v>372.70100000000002</v>
      </c>
      <c r="W76" s="245">
        <f t="shared" si="41"/>
        <v>71.702999999999989</v>
      </c>
      <c r="X76" s="245">
        <f t="shared" si="42"/>
        <v>7.710000000000008</v>
      </c>
      <c r="Y76" s="243">
        <f t="shared" si="51"/>
        <v>0</v>
      </c>
      <c r="Z76" s="243">
        <f t="shared" si="52"/>
        <v>5.0679999999999836</v>
      </c>
      <c r="AA76" s="243">
        <f t="shared" si="53"/>
        <v>0</v>
      </c>
      <c r="AB76" s="243" t="str">
        <f t="shared" si="54"/>
        <v/>
      </c>
      <c r="AC76" s="243" t="str">
        <f t="shared" si="46"/>
        <v/>
      </c>
      <c r="AD76" s="245"/>
      <c r="AE76" s="243">
        <f t="shared" ref="AE76:AE115" si="56">IF(C76&lt;C75,D76,AE75)</f>
        <v>100</v>
      </c>
      <c r="AF76" s="245"/>
      <c r="AG76" s="243">
        <f t="shared" ref="AG76:AG107" si="57">IF(N76&gt;0,Q76,AG75)</f>
        <v>0</v>
      </c>
      <c r="AH76" s="241">
        <v>77.099999999999994</v>
      </c>
      <c r="AI76" s="241">
        <v>77.7</v>
      </c>
      <c r="AJ76" s="241">
        <v>80.8</v>
      </c>
      <c r="AK76" s="241">
        <v>80.099999999999994</v>
      </c>
      <c r="AL76" s="241">
        <v>66.099999999999994</v>
      </c>
      <c r="AM76" s="241">
        <v>66.400000000000006</v>
      </c>
      <c r="AN76" s="241">
        <v>64.599999999999994</v>
      </c>
      <c r="AO76" s="241">
        <v>64.2</v>
      </c>
      <c r="AP76" s="241">
        <v>72.400000000000006</v>
      </c>
      <c r="AQ76" s="241">
        <v>70.5</v>
      </c>
      <c r="AR76" s="241">
        <v>74.900000000000006</v>
      </c>
      <c r="AS76" s="241">
        <v>72.8</v>
      </c>
    </row>
    <row r="77" spans="1:45" x14ac:dyDescent="0.25">
      <c r="A77" s="81">
        <v>82</v>
      </c>
      <c r="B77" s="91">
        <f>IF(('tuot-VKO'!$J$5&gt;0),$O$5-SUM('tuot-VKO'!$C$11:'tuot-VKO'!C78), )</f>
        <v>9990</v>
      </c>
      <c r="C77" s="92">
        <f>IF(('tuot-VKO'!$J$5&gt;0),100-(SUM('tuot-VKO'!C$11:C78))/$O$5*100, )</f>
        <v>100</v>
      </c>
      <c r="D77" s="93">
        <f t="shared" si="21"/>
        <v>93.84816753926701</v>
      </c>
      <c r="E77" s="94">
        <f>IF(('tuot-VKO'!$J$5&gt;0),('tuot-VKO'!D78+'tuot-VKO'!E78)/7/B77*100, )</f>
        <v>0</v>
      </c>
      <c r="F77" s="95">
        <f>IF(('tuot-VKO'!$J$5&gt;0),'tuot-VKO'!D78/7/B77*100, )</f>
        <v>0</v>
      </c>
      <c r="G77" s="93">
        <f t="shared" si="38"/>
        <v>76.400000000000006</v>
      </c>
      <c r="H77" s="92">
        <f t="shared" si="47"/>
        <v>0</v>
      </c>
      <c r="I77" s="93">
        <f t="shared" si="48"/>
        <v>389.50799999999992</v>
      </c>
      <c r="J77" s="94">
        <f>IF('tuot-VKO'!F78&gt;0,'tuot-VKO'!F78,J76)</f>
        <v>0</v>
      </c>
      <c r="K77" s="96">
        <f t="shared" si="39"/>
        <v>66.099999999999994</v>
      </c>
      <c r="L77" s="92">
        <f>IF(U77&lt;&gt;0,SUMPRODUCT(($J$10:J77)*($Y$10:Y77)/U77),0)</f>
        <v>0</v>
      </c>
      <c r="M77" s="93">
        <f>IF(V77&lt;&gt;0,SUMPRODUCT(($K$10:K77)*($Z$10:Z77)/V77),0)</f>
        <v>63.068002223869556</v>
      </c>
      <c r="N77" s="91">
        <f t="shared" si="44"/>
        <v>0</v>
      </c>
      <c r="O77" s="97">
        <f t="shared" si="45"/>
        <v>330</v>
      </c>
      <c r="P77" s="98">
        <f t="shared" si="55"/>
        <v>0</v>
      </c>
      <c r="Q77" s="99">
        <f t="shared" si="55"/>
        <v>23.790000000000003</v>
      </c>
      <c r="R77" s="94">
        <f>IF(('tuot-VKO'!$J$5&gt;0),('tuot-VKO'!D78+'tuot-VKO'!E78)/7/$O$5*100,0)</f>
        <v>0</v>
      </c>
      <c r="S77" s="95">
        <f>IF(('tuot-VKO'!$J$5&gt;0),'tuot-VKO'!D78/7/$O$5*100,0)</f>
        <v>0</v>
      </c>
      <c r="T77" s="93">
        <f t="shared" si="40"/>
        <v>71.7</v>
      </c>
      <c r="U77" s="94">
        <f t="shared" si="49"/>
        <v>0</v>
      </c>
      <c r="V77" s="93">
        <f t="shared" si="50"/>
        <v>377.72</v>
      </c>
      <c r="W77" s="245">
        <f t="shared" si="41"/>
        <v>71.052000000000007</v>
      </c>
      <c r="X77" s="245">
        <f t="shared" si="42"/>
        <v>7.6400000000000006</v>
      </c>
      <c r="Y77" s="243">
        <f t="shared" si="51"/>
        <v>0</v>
      </c>
      <c r="Z77" s="243">
        <f t="shared" si="52"/>
        <v>5.0190000000000055</v>
      </c>
      <c r="AA77" s="243">
        <f t="shared" si="53"/>
        <v>0</v>
      </c>
      <c r="AB77" s="243" t="str">
        <f t="shared" si="54"/>
        <v/>
      </c>
      <c r="AC77" s="243" t="str">
        <f t="shared" si="46"/>
        <v/>
      </c>
      <c r="AD77" s="245"/>
      <c r="AE77" s="243">
        <f t="shared" si="56"/>
        <v>100</v>
      </c>
      <c r="AF77" s="245"/>
      <c r="AG77" s="243">
        <f t="shared" si="57"/>
        <v>0</v>
      </c>
      <c r="AH77" s="241">
        <v>76.400000000000006</v>
      </c>
      <c r="AI77" s="241">
        <v>76.7</v>
      </c>
      <c r="AJ77" s="241">
        <v>80.2</v>
      </c>
      <c r="AK77" s="241">
        <v>79.2</v>
      </c>
      <c r="AL77" s="241">
        <v>66.099999999999994</v>
      </c>
      <c r="AM77" s="241">
        <v>66.400000000000006</v>
      </c>
      <c r="AN77" s="241">
        <v>64.599999999999994</v>
      </c>
      <c r="AO77" s="241">
        <v>64.3</v>
      </c>
      <c r="AP77" s="241">
        <v>71.7</v>
      </c>
      <c r="AQ77" s="241">
        <v>69.5</v>
      </c>
      <c r="AR77" s="241">
        <v>74.2</v>
      </c>
      <c r="AS77" s="241">
        <v>71.8</v>
      </c>
    </row>
    <row r="78" spans="1:45" x14ac:dyDescent="0.25">
      <c r="A78" s="120">
        <v>83</v>
      </c>
      <c r="B78" s="91">
        <f>IF(('tuot-VKO'!$J$5&gt;0),$O$5-SUM('tuot-VKO'!$C$11:'tuot-VKO'!C79), )</f>
        <v>9990</v>
      </c>
      <c r="C78" s="92">
        <f>IF(('tuot-VKO'!$J$5&gt;0),100-(SUM('tuot-VKO'!C$11:C79))/$O$5*100, )</f>
        <v>100</v>
      </c>
      <c r="D78" s="93">
        <f t="shared" si="21"/>
        <v>93.667546174142473</v>
      </c>
      <c r="E78" s="94">
        <f>IF(('tuot-VKO'!$J$5&gt;0),('tuot-VKO'!D79+'tuot-VKO'!E79)/7/B78*100, )</f>
        <v>0</v>
      </c>
      <c r="F78" s="95">
        <f>IF(('tuot-VKO'!$J$5&gt;0),'tuot-VKO'!D79/7/B78*100, )</f>
        <v>0</v>
      </c>
      <c r="G78" s="93">
        <f t="shared" ref="G78:G90" si="58">CHOOSE($W$8,AH78,AI78,AJ78,AK78,AK78)</f>
        <v>75.8</v>
      </c>
      <c r="H78" s="92">
        <f t="shared" si="47"/>
        <v>0</v>
      </c>
      <c r="I78" s="93">
        <f t="shared" si="48"/>
        <v>394.81399999999991</v>
      </c>
      <c r="J78" s="94">
        <f>IF('tuot-VKO'!F79&gt;0,'tuot-VKO'!F79,J77)</f>
        <v>0</v>
      </c>
      <c r="K78" s="96">
        <f t="shared" ref="K78:K90" si="59">CHOOSE($W$8,AL78,AM78,AN78,AO78,AO78)</f>
        <v>66.099999999999994</v>
      </c>
      <c r="L78" s="92">
        <f>IF(U78&lt;&gt;0,SUMPRODUCT(($J$10:J78)*($Y$10:Y78)/U78),0)</f>
        <v>0</v>
      </c>
      <c r="M78" s="93">
        <f>IF(V78&lt;&gt;0,SUMPRODUCT(($K$10:K78)*($Z$10:Z78)/V78),0)</f>
        <v>63.10737881836473</v>
      </c>
      <c r="N78" s="91">
        <f t="shared" si="44"/>
        <v>0</v>
      </c>
      <c r="O78" s="97">
        <f t="shared" si="45"/>
        <v>330</v>
      </c>
      <c r="P78" s="98">
        <f t="shared" si="55"/>
        <v>0</v>
      </c>
      <c r="Q78" s="99">
        <f t="shared" si="55"/>
        <v>24.12</v>
      </c>
      <c r="R78" s="94">
        <f>IF(('tuot-VKO'!$J$5&gt;0),('tuot-VKO'!D79+'tuot-VKO'!E79)/7/$O$5*100,0)</f>
        <v>0</v>
      </c>
      <c r="S78" s="95">
        <f>IF(('tuot-VKO'!$J$5&gt;0),'tuot-VKO'!D79/7/$O$5*100,0)</f>
        <v>0</v>
      </c>
      <c r="T78" s="93">
        <f t="shared" ref="T78:T90" si="60">CHOOSE($W$8,AP78,AQ78,AR78,AS78)</f>
        <v>71</v>
      </c>
      <c r="U78" s="94">
        <f t="shared" si="49"/>
        <v>0</v>
      </c>
      <c r="V78" s="93">
        <f t="shared" si="50"/>
        <v>382.69000000000005</v>
      </c>
      <c r="W78" s="245">
        <f t="shared" si="41"/>
        <v>70.494</v>
      </c>
      <c r="X78" s="245">
        <f t="shared" ref="X78:X109" si="61">G78+G78*0.03-W78</f>
        <v>7.5799999999999983</v>
      </c>
      <c r="Y78" s="243">
        <f t="shared" si="51"/>
        <v>0</v>
      </c>
      <c r="Z78" s="243">
        <f t="shared" si="52"/>
        <v>4.9700000000000273</v>
      </c>
      <c r="AA78" s="243">
        <f t="shared" si="53"/>
        <v>0</v>
      </c>
      <c r="AB78" s="243" t="str">
        <f t="shared" si="54"/>
        <v/>
      </c>
      <c r="AC78" s="243" t="str">
        <f t="shared" si="46"/>
        <v/>
      </c>
      <c r="AD78" s="245"/>
      <c r="AE78" s="243">
        <f t="shared" si="56"/>
        <v>100</v>
      </c>
      <c r="AF78" s="245"/>
      <c r="AG78" s="243">
        <f t="shared" si="57"/>
        <v>0</v>
      </c>
      <c r="AH78" s="241">
        <v>75.8</v>
      </c>
      <c r="AI78" s="241">
        <v>75.8</v>
      </c>
      <c r="AJ78" s="241">
        <v>79.599999999999994</v>
      </c>
      <c r="AK78" s="241">
        <v>78.3</v>
      </c>
      <c r="AL78" s="241">
        <v>66.099999999999994</v>
      </c>
      <c r="AM78" s="241">
        <v>66.5</v>
      </c>
      <c r="AN78" s="241">
        <v>64.599999999999994</v>
      </c>
      <c r="AO78" s="241">
        <v>64.3</v>
      </c>
      <c r="AP78" s="241">
        <v>71</v>
      </c>
      <c r="AQ78" s="241">
        <v>68.5</v>
      </c>
      <c r="AR78" s="241">
        <v>73.5</v>
      </c>
      <c r="AS78" s="241">
        <v>70.8</v>
      </c>
    </row>
    <row r="79" spans="1:45" x14ac:dyDescent="0.25">
      <c r="A79" s="120">
        <v>84</v>
      </c>
      <c r="B79" s="91">
        <f>IF(('tuot-VKO'!$J$5&gt;0),$O$5-SUM('tuot-VKO'!$C$11:'tuot-VKO'!C80), )</f>
        <v>9990</v>
      </c>
      <c r="C79" s="92">
        <f>IF(('tuot-VKO'!$J$5&gt;0),100-(SUM('tuot-VKO'!C$11:C80))/$O$5*100, )</f>
        <v>100</v>
      </c>
      <c r="D79" s="93">
        <f t="shared" ref="D79:D80" si="62">IFERROR(T79/G79*100,100)</f>
        <v>93.608521970705723</v>
      </c>
      <c r="E79" s="94">
        <f>IF(('tuot-VKO'!$J$5&gt;0),('tuot-VKO'!D80+'tuot-VKO'!E80)/7/B79*100, )</f>
        <v>0</v>
      </c>
      <c r="F79" s="95">
        <f>IF(('tuot-VKO'!$J$5&gt;0),'tuot-VKO'!D80/7/B79*100, )</f>
        <v>0</v>
      </c>
      <c r="G79" s="93">
        <f t="shared" si="58"/>
        <v>75.099999999999994</v>
      </c>
      <c r="H79" s="92">
        <f t="shared" si="47"/>
        <v>0</v>
      </c>
      <c r="I79" s="93">
        <f t="shared" si="48"/>
        <v>400.07099999999991</v>
      </c>
      <c r="J79" s="94">
        <f>IF('tuot-VKO'!F80&gt;0,'tuot-VKO'!F80,J78)</f>
        <v>0</v>
      </c>
      <c r="K79" s="96">
        <f t="shared" si="59"/>
        <v>66.099999999999994</v>
      </c>
      <c r="L79" s="92">
        <f>IF(U79&lt;&gt;0,SUMPRODUCT(($J$10:J79)*($Y$10:Y79)/U79),0)</f>
        <v>0</v>
      </c>
      <c r="M79" s="93">
        <f>IF(V79&lt;&gt;0,SUMPRODUCT(($K$10:K79)*($Z$10:Z79)/V79),0)</f>
        <v>63.145372293355969</v>
      </c>
      <c r="N79" s="91">
        <f t="shared" si="44"/>
        <v>0</v>
      </c>
      <c r="O79" s="97">
        <f t="shared" si="45"/>
        <v>330</v>
      </c>
      <c r="P79" s="98">
        <f t="shared" si="55"/>
        <v>0</v>
      </c>
      <c r="Q79" s="99">
        <f t="shared" si="55"/>
        <v>24.45</v>
      </c>
      <c r="R79" s="94">
        <f>IF(('tuot-VKO'!$J$5&gt;0),('tuot-VKO'!D80+'tuot-VKO'!E80)/7/$O$5*100,0)</f>
        <v>0</v>
      </c>
      <c r="S79" s="95">
        <f>IF(('tuot-VKO'!$J$5&gt;0),'tuot-VKO'!D80/7/$O$5*100,0)</f>
        <v>0</v>
      </c>
      <c r="T79" s="93">
        <f t="shared" si="60"/>
        <v>70.3</v>
      </c>
      <c r="U79" s="94">
        <f t="shared" si="49"/>
        <v>0</v>
      </c>
      <c r="V79" s="93">
        <f t="shared" si="50"/>
        <v>387.61100000000005</v>
      </c>
      <c r="W79" s="245">
        <f t="shared" ref="W79:W115" si="63">G79-G79*0.07</f>
        <v>69.842999999999989</v>
      </c>
      <c r="X79" s="245">
        <f t="shared" si="61"/>
        <v>7.5100000000000051</v>
      </c>
      <c r="Y79" s="243">
        <f t="shared" si="51"/>
        <v>0</v>
      </c>
      <c r="Z79" s="243">
        <f t="shared" si="52"/>
        <v>4.9209999999999923</v>
      </c>
      <c r="AA79" s="243">
        <f t="shared" si="53"/>
        <v>0</v>
      </c>
      <c r="AB79" s="243" t="str">
        <f t="shared" si="54"/>
        <v/>
      </c>
      <c r="AC79" s="243" t="str">
        <f t="shared" si="46"/>
        <v/>
      </c>
      <c r="AD79" s="245"/>
      <c r="AE79" s="243">
        <f t="shared" si="56"/>
        <v>100</v>
      </c>
      <c r="AF79" s="245"/>
      <c r="AG79" s="243">
        <f t="shared" si="57"/>
        <v>0</v>
      </c>
      <c r="AH79" s="241">
        <v>75.099999999999994</v>
      </c>
      <c r="AI79" s="241">
        <v>74.900000000000006</v>
      </c>
      <c r="AJ79" s="241">
        <v>78.900000000000006</v>
      </c>
      <c r="AK79" s="241">
        <v>77.3</v>
      </c>
      <c r="AL79" s="241">
        <v>66.099999999999994</v>
      </c>
      <c r="AM79" s="241">
        <v>66.5</v>
      </c>
      <c r="AN79" s="241">
        <v>64.599999999999994</v>
      </c>
      <c r="AO79" s="241">
        <v>64.3</v>
      </c>
      <c r="AP79" s="241">
        <v>70.3</v>
      </c>
      <c r="AQ79" s="241">
        <v>67.5</v>
      </c>
      <c r="AR79" s="241">
        <v>72.8</v>
      </c>
      <c r="AS79" s="241">
        <v>69.8</v>
      </c>
    </row>
    <row r="80" spans="1:45" x14ac:dyDescent="0.25">
      <c r="A80" s="121">
        <v>85</v>
      </c>
      <c r="B80" s="101">
        <f>IF(('tuot-VKO'!$J$5&gt;0),$O$5-SUM('tuot-VKO'!$C$11:'tuot-VKO'!C81), )</f>
        <v>9990</v>
      </c>
      <c r="C80" s="102">
        <f>IF(('tuot-VKO'!$J$5&gt;0),100-(SUM('tuot-VKO'!C$11:C81))/$O$5*100, )</f>
        <v>100</v>
      </c>
      <c r="D80" s="103">
        <f t="shared" si="62"/>
        <v>93.548387096774178</v>
      </c>
      <c r="E80" s="104">
        <f>IF(('tuot-VKO'!$J$5&gt;0),('tuot-VKO'!D81+'tuot-VKO'!E81)/7/B80*100, )</f>
        <v>0</v>
      </c>
      <c r="F80" s="105">
        <f>IF(('tuot-VKO'!$J$5&gt;0),'tuot-VKO'!D81/7/B80*100, )</f>
        <v>0</v>
      </c>
      <c r="G80" s="103">
        <f t="shared" si="58"/>
        <v>74.400000000000006</v>
      </c>
      <c r="H80" s="102">
        <f t="shared" si="47"/>
        <v>0</v>
      </c>
      <c r="I80" s="103">
        <f>IF(ISNUMBER(G80),7*G80/100+I79, )</f>
        <v>405.27899999999994</v>
      </c>
      <c r="J80" s="104">
        <f>IF('tuot-VKO'!F81&gt;0,'tuot-VKO'!F81,J79)</f>
        <v>0</v>
      </c>
      <c r="K80" s="106">
        <f t="shared" si="59"/>
        <v>66.2</v>
      </c>
      <c r="L80" s="102">
        <f>IF(U80&lt;&gt;0,SUMPRODUCT(($J$10:J80)*($Y$10:Y80)/U80),0)</f>
        <v>0</v>
      </c>
      <c r="M80" s="103">
        <f>IF(V80&lt;&gt;0,SUMPRODUCT(($K$10:K80)*($Z$10:Z80)/V80),0)</f>
        <v>63.183290231678804</v>
      </c>
      <c r="N80" s="101">
        <f t="shared" si="44"/>
        <v>0</v>
      </c>
      <c r="O80" s="107">
        <f t="shared" si="45"/>
        <v>320</v>
      </c>
      <c r="P80" s="108">
        <f t="shared" si="55"/>
        <v>0</v>
      </c>
      <c r="Q80" s="109">
        <f t="shared" si="55"/>
        <v>24.77</v>
      </c>
      <c r="R80" s="104">
        <f>IF(('tuot-VKO'!$J$5&gt;0),('tuot-VKO'!D81+'tuot-VKO'!E81)/7/$O$5*100,0)</f>
        <v>0</v>
      </c>
      <c r="S80" s="105">
        <f>IF(('tuot-VKO'!$J$5&gt;0),'tuot-VKO'!D81/7/$O$5*100,0)</f>
        <v>0</v>
      </c>
      <c r="T80" s="103">
        <f t="shared" si="60"/>
        <v>69.599999999999994</v>
      </c>
      <c r="U80" s="104">
        <f t="shared" si="49"/>
        <v>0</v>
      </c>
      <c r="V80" s="103">
        <f t="shared" si="50"/>
        <v>392.48300000000006</v>
      </c>
      <c r="W80" s="245">
        <f t="shared" si="63"/>
        <v>69.192000000000007</v>
      </c>
      <c r="X80" s="245">
        <f t="shared" si="61"/>
        <v>7.4399999999999977</v>
      </c>
      <c r="Y80" s="243">
        <f t="shared" si="51"/>
        <v>0</v>
      </c>
      <c r="Z80" s="243">
        <f t="shared" si="52"/>
        <v>4.8720000000000141</v>
      </c>
      <c r="AA80" s="243">
        <f t="shared" si="53"/>
        <v>0</v>
      </c>
      <c r="AB80" s="243" t="str">
        <f t="shared" si="54"/>
        <v/>
      </c>
      <c r="AC80" s="243" t="str">
        <f t="shared" si="46"/>
        <v/>
      </c>
      <c r="AD80" s="245"/>
      <c r="AE80" s="243">
        <f t="shared" si="56"/>
        <v>100</v>
      </c>
      <c r="AF80" s="245"/>
      <c r="AG80" s="243">
        <f t="shared" si="57"/>
        <v>0</v>
      </c>
      <c r="AH80" s="241">
        <v>74.400000000000006</v>
      </c>
      <c r="AI80" s="241">
        <v>73.900000000000006</v>
      </c>
      <c r="AJ80" s="241">
        <v>78.2</v>
      </c>
      <c r="AK80" s="241">
        <v>76.400000000000006</v>
      </c>
      <c r="AL80" s="241">
        <v>66.2</v>
      </c>
      <c r="AM80" s="241">
        <v>66.599999999999994</v>
      </c>
      <c r="AN80" s="241">
        <v>64.599999999999994</v>
      </c>
      <c r="AO80" s="241">
        <v>64.3</v>
      </c>
      <c r="AP80" s="241">
        <v>69.599999999999994</v>
      </c>
      <c r="AQ80" s="241">
        <v>66.5</v>
      </c>
      <c r="AR80" s="241">
        <v>72</v>
      </c>
      <c r="AS80" s="241">
        <v>68.8</v>
      </c>
    </row>
    <row r="81" spans="1:44" x14ac:dyDescent="0.25">
      <c r="A81" s="120">
        <v>86</v>
      </c>
      <c r="B81" s="91">
        <f>IF(('tuot-VKO'!$J$5&gt;0),$O$5-SUM('tuot-VKO'!$C$11:'tuot-VKO'!C82), )</f>
        <v>9990</v>
      </c>
      <c r="C81" s="92">
        <f>IF(('tuot-VKO'!$J$5&gt;0),100-(SUM('tuot-VKO'!C$11:C82))/$O$5*100, )</f>
        <v>100</v>
      </c>
      <c r="D81" s="93">
        <f>IFERROR(T81/G81*100,"")</f>
        <v>93.360433604336052</v>
      </c>
      <c r="E81" s="94">
        <f>IF(('tuot-VKO'!$J$5&gt;0),('tuot-VKO'!D82+'tuot-VKO'!E82)/7/B81*100, )</f>
        <v>0</v>
      </c>
      <c r="F81" s="95">
        <f>IF(('tuot-VKO'!$J$5&gt;0),'tuot-VKO'!D82/7/B81*100, )</f>
        <v>0</v>
      </c>
      <c r="G81" s="93">
        <f t="shared" si="58"/>
        <v>73.8</v>
      </c>
      <c r="H81" s="92">
        <f t="shared" si="47"/>
        <v>0</v>
      </c>
      <c r="I81" s="93">
        <f t="shared" si="48"/>
        <v>410.44499999999994</v>
      </c>
      <c r="J81" s="94">
        <f>IF('tuot-VKO'!F82&gt;0,'tuot-VKO'!F82,J80)</f>
        <v>0</v>
      </c>
      <c r="K81" s="96">
        <f t="shared" si="59"/>
        <v>66.2</v>
      </c>
      <c r="L81" s="92">
        <f>IF(U81&lt;&gt;0,SUMPRODUCT(($J$10:J81)*($Y$10:Y81)/U81),0)</f>
        <v>0</v>
      </c>
      <c r="M81" s="93">
        <f>IF(V81&lt;&gt;0,SUMPRODUCT(($K$10:K81)*($Z$10:Z81)/V81),0)</f>
        <v>63.21991084957186</v>
      </c>
      <c r="N81" s="91">
        <f t="shared" si="44"/>
        <v>0</v>
      </c>
      <c r="O81" s="97">
        <f t="shared" si="45"/>
        <v>320</v>
      </c>
      <c r="P81" s="98">
        <f t="shared" si="55"/>
        <v>0</v>
      </c>
      <c r="Q81" s="99">
        <f t="shared" si="55"/>
        <v>25.09</v>
      </c>
      <c r="R81" s="94">
        <f>IF(('tuot-VKO'!$J$5&gt;0),('tuot-VKO'!D82+'tuot-VKO'!E82)/7/$O$5*100,0)</f>
        <v>0</v>
      </c>
      <c r="S81" s="95">
        <f>IF(('tuot-VKO'!$J$5&gt;0),'tuot-VKO'!D82/7/$O$5*100,0)</f>
        <v>0</v>
      </c>
      <c r="T81" s="93">
        <f t="shared" si="60"/>
        <v>68.900000000000006</v>
      </c>
      <c r="U81" s="94">
        <f t="shared" si="49"/>
        <v>0</v>
      </c>
      <c r="V81" s="93">
        <f>IF(ISNUMBER(T81),7*T81/100+V80, )</f>
        <v>397.30600000000004</v>
      </c>
      <c r="W81" s="245">
        <f t="shared" si="63"/>
        <v>68.634</v>
      </c>
      <c r="X81" s="245">
        <f t="shared" si="61"/>
        <v>7.3799999999999955</v>
      </c>
      <c r="Y81" s="243">
        <f t="shared" si="51"/>
        <v>0</v>
      </c>
      <c r="Z81" s="243">
        <f t="shared" si="52"/>
        <v>4.8229999999999791</v>
      </c>
      <c r="AA81" s="243">
        <f t="shared" si="53"/>
        <v>0</v>
      </c>
      <c r="AB81" s="243" t="str">
        <f t="shared" si="54"/>
        <v/>
      </c>
      <c r="AC81" s="243" t="str">
        <f t="shared" si="46"/>
        <v/>
      </c>
      <c r="AD81" s="245"/>
      <c r="AE81" s="243">
        <f t="shared" si="56"/>
        <v>100</v>
      </c>
      <c r="AF81" s="245"/>
      <c r="AG81" s="243">
        <f t="shared" si="57"/>
        <v>0</v>
      </c>
      <c r="AH81" s="241">
        <v>73.8</v>
      </c>
      <c r="AJ81" s="241">
        <v>77.5</v>
      </c>
      <c r="AK81" s="224"/>
      <c r="AL81" s="241">
        <v>66.2</v>
      </c>
      <c r="AM81" s="224"/>
      <c r="AN81" s="241">
        <v>64.7</v>
      </c>
      <c r="AP81" s="241">
        <v>68.900000000000006</v>
      </c>
      <c r="AR81" s="241">
        <v>71.3</v>
      </c>
    </row>
    <row r="82" spans="1:44" x14ac:dyDescent="0.25">
      <c r="A82" s="120">
        <v>87</v>
      </c>
      <c r="B82" s="91">
        <f>IF(('tuot-VKO'!$J$5&gt;0),$O$5-SUM('tuot-VKO'!$C$11:'tuot-VKO'!C83), )</f>
        <v>9990</v>
      </c>
      <c r="C82" s="92">
        <f>IF(('tuot-VKO'!$J$5&gt;0),100-(SUM('tuot-VKO'!C$11:C83))/$O$5*100, )</f>
        <v>100</v>
      </c>
      <c r="D82" s="93">
        <f t="shared" ref="D82:D90" si="64">IFERROR(T82/G82*100,"")</f>
        <v>93.296853625171011</v>
      </c>
      <c r="E82" s="94">
        <f>IF(('tuot-VKO'!$J$5&gt;0),('tuot-VKO'!D83+'tuot-VKO'!E83)/7/B82*100, )</f>
        <v>0</v>
      </c>
      <c r="F82" s="95">
        <f>IF(('tuot-VKO'!$J$5&gt;0),'tuot-VKO'!D83/7/B82*100, )</f>
        <v>0</v>
      </c>
      <c r="G82" s="93">
        <f t="shared" si="58"/>
        <v>73.099999999999994</v>
      </c>
      <c r="H82" s="92">
        <f t="shared" si="47"/>
        <v>0</v>
      </c>
      <c r="I82" s="93">
        <f t="shared" si="48"/>
        <v>415.56199999999995</v>
      </c>
      <c r="J82" s="94">
        <f>IF('tuot-VKO'!F83&gt;0,'tuot-VKO'!F83,J81)</f>
        <v>0</v>
      </c>
      <c r="K82" s="96">
        <f t="shared" si="59"/>
        <v>66.2</v>
      </c>
      <c r="L82" s="92">
        <f>IF(U82&lt;&gt;0,SUMPRODUCT(($J$10:J82)*($Y$10:Y82)/U82),0)</f>
        <v>0</v>
      </c>
      <c r="M82" s="93">
        <f>IF(V82&lt;&gt;0,SUMPRODUCT(($K$10:K82)*($Z$10:Z82)/V82),0)</f>
        <v>63.25529422005571</v>
      </c>
      <c r="N82" s="91">
        <f t="shared" si="44"/>
        <v>0</v>
      </c>
      <c r="O82" s="97">
        <f t="shared" si="45"/>
        <v>320</v>
      </c>
      <c r="P82" s="98">
        <f t="shared" si="55"/>
        <v>0</v>
      </c>
      <c r="Q82" s="99">
        <f t="shared" si="55"/>
        <v>25.41</v>
      </c>
      <c r="R82" s="94">
        <f>IF(('tuot-VKO'!$J$5&gt;0),('tuot-VKO'!D83+'tuot-VKO'!E83)/7/$O$5*100,0)</f>
        <v>0</v>
      </c>
      <c r="S82" s="95">
        <f>IF(('tuot-VKO'!$J$5&gt;0),'tuot-VKO'!D83/7/$O$5*100,0)</f>
        <v>0</v>
      </c>
      <c r="T82" s="93">
        <f t="shared" si="60"/>
        <v>68.2</v>
      </c>
      <c r="U82" s="94">
        <f t="shared" si="49"/>
        <v>0</v>
      </c>
      <c r="V82" s="93">
        <f t="shared" si="50"/>
        <v>402.08000000000004</v>
      </c>
      <c r="W82" s="245">
        <f t="shared" si="63"/>
        <v>67.98299999999999</v>
      </c>
      <c r="X82" s="245">
        <f t="shared" si="61"/>
        <v>7.3100000000000023</v>
      </c>
      <c r="Y82" s="243">
        <f t="shared" si="51"/>
        <v>0</v>
      </c>
      <c r="Z82" s="243">
        <f t="shared" si="52"/>
        <v>4.7740000000000009</v>
      </c>
      <c r="AA82" s="243">
        <f t="shared" si="53"/>
        <v>0</v>
      </c>
      <c r="AB82" s="243" t="str">
        <f t="shared" si="54"/>
        <v/>
      </c>
      <c r="AC82" s="243" t="str">
        <f t="shared" si="46"/>
        <v/>
      </c>
      <c r="AD82" s="245"/>
      <c r="AE82" s="243">
        <f t="shared" si="56"/>
        <v>100</v>
      </c>
      <c r="AF82" s="245"/>
      <c r="AG82" s="243">
        <f t="shared" si="57"/>
        <v>0</v>
      </c>
      <c r="AH82" s="241">
        <v>73.099999999999994</v>
      </c>
      <c r="AJ82" s="241">
        <v>76.8</v>
      </c>
      <c r="AK82" s="224"/>
      <c r="AL82" s="241">
        <v>66.2</v>
      </c>
      <c r="AM82" s="224"/>
      <c r="AN82" s="241">
        <v>64.7</v>
      </c>
      <c r="AP82" s="241">
        <v>68.2</v>
      </c>
      <c r="AR82" s="241">
        <v>70.5</v>
      </c>
    </row>
    <row r="83" spans="1:44" x14ac:dyDescent="0.25">
      <c r="A83" s="120">
        <v>88</v>
      </c>
      <c r="B83" s="91">
        <f>IF(('tuot-VKO'!$J$5&gt;0),$O$5-SUM('tuot-VKO'!$C$11:'tuot-VKO'!C84), )</f>
        <v>9990</v>
      </c>
      <c r="C83" s="92">
        <f>IF(('tuot-VKO'!$J$5&gt;0),100-(SUM('tuot-VKO'!C$11:C84))/$O$5*100, )</f>
        <v>100</v>
      </c>
      <c r="D83" s="93">
        <f t="shared" si="64"/>
        <v>93.232044198895025</v>
      </c>
      <c r="E83" s="94">
        <f>IF(('tuot-VKO'!$J$5&gt;0),('tuot-VKO'!D84+'tuot-VKO'!E84)/7/B83*100, )</f>
        <v>0</v>
      </c>
      <c r="F83" s="95">
        <f>IF(('tuot-VKO'!$J$5&gt;0),'tuot-VKO'!D84/7/B83*100, )</f>
        <v>0</v>
      </c>
      <c r="G83" s="93">
        <f t="shared" si="58"/>
        <v>72.400000000000006</v>
      </c>
      <c r="H83" s="92">
        <f t="shared" si="47"/>
        <v>0</v>
      </c>
      <c r="I83" s="93">
        <f t="shared" si="48"/>
        <v>420.62999999999994</v>
      </c>
      <c r="J83" s="94">
        <f>IF('tuot-VKO'!F84&gt;0,'tuot-VKO'!F84,J82)</f>
        <v>0</v>
      </c>
      <c r="K83" s="96">
        <f t="shared" si="59"/>
        <v>66.2</v>
      </c>
      <c r="L83" s="92">
        <f>IF(U83&lt;&gt;0,SUMPRODUCT(($J$10:J83)*($Y$10:Y83)/U83),0)</f>
        <v>0</v>
      </c>
      <c r="M83" s="93">
        <f>IF(V83&lt;&gt;0,SUMPRODUCT(($K$10:K83)*($Z$10:Z83)/V83),0)</f>
        <v>63.289496687602167</v>
      </c>
      <c r="N83" s="91">
        <f t="shared" si="44"/>
        <v>0</v>
      </c>
      <c r="O83" s="97">
        <f t="shared" si="45"/>
        <v>310</v>
      </c>
      <c r="P83" s="98">
        <f t="shared" si="55"/>
        <v>0</v>
      </c>
      <c r="Q83" s="99">
        <f t="shared" si="55"/>
        <v>25.72</v>
      </c>
      <c r="R83" s="94">
        <f>IF(('tuot-VKO'!$J$5&gt;0),('tuot-VKO'!D84+'tuot-VKO'!E84)/7/$O$5*100,0)</f>
        <v>0</v>
      </c>
      <c r="S83" s="95">
        <f>IF(('tuot-VKO'!$J$5&gt;0),'tuot-VKO'!D84/7/$O$5*100,0)</f>
        <v>0</v>
      </c>
      <c r="T83" s="93">
        <f t="shared" si="60"/>
        <v>67.5</v>
      </c>
      <c r="U83" s="94">
        <f t="shared" si="49"/>
        <v>0</v>
      </c>
      <c r="V83" s="93">
        <f t="shared" si="50"/>
        <v>406.80500000000006</v>
      </c>
      <c r="W83" s="245">
        <f t="shared" si="63"/>
        <v>67.332000000000008</v>
      </c>
      <c r="X83" s="245">
        <f t="shared" si="61"/>
        <v>7.2399999999999949</v>
      </c>
      <c r="Y83" s="243">
        <f t="shared" si="51"/>
        <v>0</v>
      </c>
      <c r="Z83" s="243">
        <f t="shared" si="52"/>
        <v>4.7250000000000227</v>
      </c>
      <c r="AA83" s="243">
        <f t="shared" si="53"/>
        <v>0</v>
      </c>
      <c r="AB83" s="243" t="str">
        <f t="shared" si="54"/>
        <v/>
      </c>
      <c r="AC83" s="243" t="str">
        <f t="shared" si="46"/>
        <v/>
      </c>
      <c r="AD83" s="245"/>
      <c r="AE83" s="243">
        <f t="shared" si="56"/>
        <v>100</v>
      </c>
      <c r="AF83" s="245"/>
      <c r="AG83" s="243">
        <f t="shared" si="57"/>
        <v>0</v>
      </c>
      <c r="AH83" s="241">
        <v>72.400000000000006</v>
      </c>
      <c r="AJ83" s="241">
        <v>76.099999999999994</v>
      </c>
      <c r="AK83" s="224"/>
      <c r="AL83" s="241">
        <v>66.2</v>
      </c>
      <c r="AM83" s="224"/>
      <c r="AN83" s="241">
        <v>64.7</v>
      </c>
      <c r="AP83" s="241">
        <v>67.5</v>
      </c>
      <c r="AR83" s="241">
        <v>69.8</v>
      </c>
    </row>
    <row r="84" spans="1:44" x14ac:dyDescent="0.25">
      <c r="A84" s="120">
        <v>89</v>
      </c>
      <c r="B84" s="91">
        <f>IF(('tuot-VKO'!$J$5&gt;0),$O$5-SUM('tuot-VKO'!$C$11:'tuot-VKO'!C85), )</f>
        <v>9990</v>
      </c>
      <c r="C84" s="92">
        <f>IF(('tuot-VKO'!$J$5&gt;0),100-(SUM('tuot-VKO'!C$11:C85))/$O$5*100, )</f>
        <v>100</v>
      </c>
      <c r="D84" s="93">
        <f t="shared" si="64"/>
        <v>93.036211699164355</v>
      </c>
      <c r="E84" s="94">
        <f>IF(('tuot-VKO'!$J$5&gt;0),('tuot-VKO'!D85+'tuot-VKO'!E85)/7/B84*100, )</f>
        <v>0</v>
      </c>
      <c r="F84" s="95">
        <f>IF(('tuot-VKO'!$J$5&gt;0),'tuot-VKO'!D85/7/B84*100, )</f>
        <v>0</v>
      </c>
      <c r="G84" s="93">
        <f t="shared" si="58"/>
        <v>71.8</v>
      </c>
      <c r="H84" s="92">
        <f t="shared" si="47"/>
        <v>0</v>
      </c>
      <c r="I84" s="93">
        <f t="shared" si="48"/>
        <v>425.65599999999995</v>
      </c>
      <c r="J84" s="94">
        <f>IF('tuot-VKO'!F85&gt;0,'tuot-VKO'!F85,J83)</f>
        <v>0</v>
      </c>
      <c r="K84" s="96">
        <f t="shared" si="59"/>
        <v>66.3</v>
      </c>
      <c r="L84" s="92">
        <f>IF(U84&lt;&gt;0,SUMPRODUCT(($J$10:J84)*($Y$10:Y84)/U84),0)</f>
        <v>0</v>
      </c>
      <c r="M84" s="93">
        <f>IF(V84&lt;&gt;0,SUMPRODUCT(($K$10:K84)*($Z$10:Z84)/V84),0)</f>
        <v>63.323707534491263</v>
      </c>
      <c r="N84" s="91">
        <f t="shared" si="44"/>
        <v>0</v>
      </c>
      <c r="O84" s="97">
        <f t="shared" si="45"/>
        <v>310</v>
      </c>
      <c r="P84" s="98">
        <f t="shared" si="55"/>
        <v>0</v>
      </c>
      <c r="Q84" s="99">
        <f t="shared" si="55"/>
        <v>26.029999999999998</v>
      </c>
      <c r="R84" s="94">
        <f>IF(('tuot-VKO'!$J$5&gt;0),('tuot-VKO'!D85+'tuot-VKO'!E85)/7/$O$5*100,0)</f>
        <v>0</v>
      </c>
      <c r="S84" s="95">
        <f>IF(('tuot-VKO'!$J$5&gt;0),'tuot-VKO'!D85/7/$O$5*100,0)</f>
        <v>0</v>
      </c>
      <c r="T84" s="93">
        <f t="shared" si="60"/>
        <v>66.8</v>
      </c>
      <c r="U84" s="94">
        <f t="shared" si="49"/>
        <v>0</v>
      </c>
      <c r="V84" s="93">
        <f t="shared" si="50"/>
        <v>411.48100000000005</v>
      </c>
      <c r="W84" s="245">
        <f t="shared" si="63"/>
        <v>66.774000000000001</v>
      </c>
      <c r="X84" s="245">
        <f t="shared" si="61"/>
        <v>7.1799999999999926</v>
      </c>
      <c r="Y84" s="243">
        <f t="shared" si="51"/>
        <v>0</v>
      </c>
      <c r="Z84" s="243">
        <f t="shared" si="52"/>
        <v>4.6759999999999877</v>
      </c>
      <c r="AA84" s="243">
        <f t="shared" si="53"/>
        <v>0</v>
      </c>
      <c r="AB84" s="243" t="str">
        <f t="shared" si="54"/>
        <v/>
      </c>
      <c r="AC84" s="243" t="str">
        <f t="shared" si="46"/>
        <v/>
      </c>
      <c r="AD84" s="245"/>
      <c r="AE84" s="243">
        <f t="shared" si="56"/>
        <v>100</v>
      </c>
      <c r="AF84" s="245"/>
      <c r="AG84" s="243">
        <f t="shared" si="57"/>
        <v>0</v>
      </c>
      <c r="AH84" s="241">
        <v>71.8</v>
      </c>
      <c r="AJ84" s="241">
        <v>75.3</v>
      </c>
      <c r="AK84" s="224"/>
      <c r="AL84" s="241">
        <v>66.3</v>
      </c>
      <c r="AM84" s="224"/>
      <c r="AN84" s="241">
        <v>64.7</v>
      </c>
      <c r="AP84" s="241">
        <v>66.8</v>
      </c>
      <c r="AR84" s="241">
        <v>68.900000000000006</v>
      </c>
    </row>
    <row r="85" spans="1:44" x14ac:dyDescent="0.25">
      <c r="A85" s="121">
        <v>90</v>
      </c>
      <c r="B85" s="101">
        <f>IF(('tuot-VKO'!$J$5&gt;0),$O$5-SUM('tuot-VKO'!$C$11:'tuot-VKO'!C86), )</f>
        <v>9990</v>
      </c>
      <c r="C85" s="102">
        <f>IF(('tuot-VKO'!$J$5&gt;0),100-(SUM('tuot-VKO'!C$11:C86))/$O$5*100, )</f>
        <v>100</v>
      </c>
      <c r="D85" s="237">
        <f t="shared" si="64"/>
        <v>92.9676511954993</v>
      </c>
      <c r="E85" s="104">
        <f>IF(('tuot-VKO'!$J$5&gt;0),('tuot-VKO'!D86+'tuot-VKO'!E86)/7/B85*100, )</f>
        <v>0</v>
      </c>
      <c r="F85" s="105">
        <f>IF(('tuot-VKO'!$J$5&gt;0),'tuot-VKO'!D86/7/B85*100, )</f>
        <v>0</v>
      </c>
      <c r="G85" s="103">
        <f t="shared" si="58"/>
        <v>71.099999999999994</v>
      </c>
      <c r="H85" s="102">
        <f t="shared" si="47"/>
        <v>0</v>
      </c>
      <c r="I85" s="103">
        <f t="shared" si="48"/>
        <v>430.63299999999992</v>
      </c>
      <c r="J85" s="104">
        <f>IF('tuot-VKO'!F86&gt;0,'tuot-VKO'!F86,J84)</f>
        <v>0</v>
      </c>
      <c r="K85" s="106">
        <f t="shared" si="59"/>
        <v>66.3</v>
      </c>
      <c r="L85" s="102">
        <f>IF(U85&lt;&gt;0,SUMPRODUCT(($J$10:J85)*($Y$10:Y85)/U85),0)</f>
        <v>0</v>
      </c>
      <c r="M85" s="103">
        <f>IF(V85&lt;&gt;0,SUMPRODUCT(($K$10:K85)*($Z$10:Z85)/V85),0)</f>
        <v>63.35680304151807</v>
      </c>
      <c r="N85" s="101">
        <f t="shared" si="44"/>
        <v>0</v>
      </c>
      <c r="O85" s="107">
        <f t="shared" si="45"/>
        <v>310</v>
      </c>
      <c r="P85" s="108">
        <f t="shared" si="55"/>
        <v>0</v>
      </c>
      <c r="Q85" s="109">
        <f t="shared" si="55"/>
        <v>26.339999999999996</v>
      </c>
      <c r="R85" s="104">
        <f>IF(('tuot-VKO'!$J$5&gt;0),('tuot-VKO'!D86+'tuot-VKO'!E86)/7/$O$5*100,0)</f>
        <v>0</v>
      </c>
      <c r="S85" s="105">
        <f>IF(('tuot-VKO'!$J$5&gt;0),'tuot-VKO'!D86/7/$O$5*100,0)</f>
        <v>0</v>
      </c>
      <c r="T85" s="103">
        <f t="shared" si="60"/>
        <v>66.099999999999994</v>
      </c>
      <c r="U85" s="104">
        <f t="shared" si="49"/>
        <v>0</v>
      </c>
      <c r="V85" s="103">
        <f t="shared" si="50"/>
        <v>416.10800000000006</v>
      </c>
      <c r="W85" s="245">
        <f t="shared" si="63"/>
        <v>66.12299999999999</v>
      </c>
      <c r="X85" s="245">
        <f t="shared" si="61"/>
        <v>7.1099999999999994</v>
      </c>
      <c r="Y85" s="243">
        <f t="shared" si="51"/>
        <v>0</v>
      </c>
      <c r="Z85" s="243">
        <f t="shared" si="52"/>
        <v>4.6270000000000095</v>
      </c>
      <c r="AA85" s="243">
        <f t="shared" si="53"/>
        <v>0</v>
      </c>
      <c r="AB85" s="243" t="str">
        <f t="shared" si="54"/>
        <v/>
      </c>
      <c r="AC85" s="243" t="str">
        <f t="shared" si="46"/>
        <v/>
      </c>
      <c r="AD85" s="245"/>
      <c r="AE85" s="243">
        <f t="shared" si="56"/>
        <v>100</v>
      </c>
      <c r="AF85" s="245"/>
      <c r="AG85" s="243">
        <f t="shared" si="57"/>
        <v>0</v>
      </c>
      <c r="AH85" s="241">
        <v>71.099999999999994</v>
      </c>
      <c r="AJ85" s="241">
        <v>74.5</v>
      </c>
      <c r="AK85" s="224"/>
      <c r="AL85" s="241">
        <v>66.3</v>
      </c>
      <c r="AM85" s="224"/>
      <c r="AN85" s="241">
        <v>64.7</v>
      </c>
      <c r="AP85" s="241">
        <v>66.099999999999994</v>
      </c>
      <c r="AR85" s="241">
        <v>68.099999999999994</v>
      </c>
    </row>
    <row r="86" spans="1:44" x14ac:dyDescent="0.25">
      <c r="A86" s="120">
        <v>91</v>
      </c>
      <c r="B86" s="91">
        <f>IF(('tuot-VKO'!$J$5&gt;0),$O$5-SUM('tuot-VKO'!$C$11:'tuot-VKO'!C87), )</f>
        <v>9990</v>
      </c>
      <c r="C86" s="92">
        <f>IF(('tuot-VKO'!$J$5&gt;0),100-(SUM('tuot-VKO'!C$11:C87))/$O$5*100, )</f>
        <v>100</v>
      </c>
      <c r="D86" s="93">
        <f t="shared" si="64"/>
        <v>92.897727272727266</v>
      </c>
      <c r="E86" s="94">
        <f>IF(('tuot-VKO'!$J$5&gt;0),('tuot-VKO'!D87+'tuot-VKO'!E87)/7/B86*100, )</f>
        <v>0</v>
      </c>
      <c r="F86" s="95">
        <f>IF(('tuot-VKO'!$J$5&gt;0),'tuot-VKO'!D87/7/B86*100, )</f>
        <v>0</v>
      </c>
      <c r="G86" s="93">
        <f t="shared" si="58"/>
        <v>70.400000000000006</v>
      </c>
      <c r="H86" s="92">
        <f t="shared" si="47"/>
        <v>0</v>
      </c>
      <c r="I86" s="93">
        <f t="shared" si="48"/>
        <v>435.56099999999992</v>
      </c>
      <c r="J86" s="94">
        <f>IF('tuot-VKO'!F87&gt;0,'tuot-VKO'!F87,J85)</f>
        <v>0</v>
      </c>
      <c r="K86" s="96">
        <f t="shared" si="59"/>
        <v>66.3</v>
      </c>
      <c r="L86" s="92">
        <f>IF(U86&lt;&gt;0,SUMPRODUCT(($J$10:J86)*($Y$10:Y86)/U86),0)</f>
        <v>0</v>
      </c>
      <c r="M86" s="93">
        <f>IF(V86&lt;&gt;0,SUMPRODUCT(($K$10:K86)*($Z$10:Z86)/V86),0)</f>
        <v>63.388831575094017</v>
      </c>
      <c r="N86" s="91">
        <f t="shared" si="44"/>
        <v>0</v>
      </c>
      <c r="O86" s="97">
        <f t="shared" si="45"/>
        <v>300</v>
      </c>
      <c r="P86" s="98">
        <f t="shared" si="55"/>
        <v>0</v>
      </c>
      <c r="Q86" s="99">
        <f t="shared" si="55"/>
        <v>26.639999999999997</v>
      </c>
      <c r="R86" s="94">
        <f>IF(('tuot-VKO'!$J$5&gt;0),('tuot-VKO'!D87+'tuot-VKO'!E87)/7/$O$5*100,0)</f>
        <v>0</v>
      </c>
      <c r="S86" s="95">
        <f>IF(('tuot-VKO'!$J$5&gt;0),'tuot-VKO'!D87/7/$O$5*100,0)</f>
        <v>0</v>
      </c>
      <c r="T86" s="93">
        <f t="shared" si="60"/>
        <v>65.400000000000006</v>
      </c>
      <c r="U86" s="94">
        <f t="shared" si="49"/>
        <v>0</v>
      </c>
      <c r="V86" s="93">
        <f t="shared" si="50"/>
        <v>420.68600000000004</v>
      </c>
      <c r="W86" s="245">
        <f t="shared" si="63"/>
        <v>65.472000000000008</v>
      </c>
      <c r="X86" s="245">
        <f t="shared" si="61"/>
        <v>7.039999999999992</v>
      </c>
      <c r="Y86" s="243">
        <f t="shared" si="51"/>
        <v>0</v>
      </c>
      <c r="Z86" s="243">
        <f t="shared" si="52"/>
        <v>4.5779999999999745</v>
      </c>
      <c r="AA86" s="243">
        <f t="shared" si="53"/>
        <v>0</v>
      </c>
      <c r="AB86" s="243" t="str">
        <f t="shared" si="54"/>
        <v/>
      </c>
      <c r="AC86" s="243" t="str">
        <f t="shared" si="46"/>
        <v/>
      </c>
      <c r="AD86" s="245"/>
      <c r="AE86" s="243">
        <f t="shared" si="56"/>
        <v>100</v>
      </c>
      <c r="AF86" s="245"/>
      <c r="AG86" s="243">
        <f t="shared" si="57"/>
        <v>0</v>
      </c>
      <c r="AH86" s="241">
        <v>70.400000000000006</v>
      </c>
      <c r="AJ86" s="241">
        <v>73.7</v>
      </c>
      <c r="AK86" s="224"/>
      <c r="AL86" s="241">
        <v>66.3</v>
      </c>
      <c r="AM86" s="224"/>
      <c r="AN86" s="241">
        <v>64.7</v>
      </c>
      <c r="AP86" s="241">
        <v>65.400000000000006</v>
      </c>
      <c r="AR86" s="241">
        <v>67.2</v>
      </c>
    </row>
    <row r="87" spans="1:44" x14ac:dyDescent="0.25">
      <c r="A87" s="120">
        <v>92</v>
      </c>
      <c r="B87" s="91">
        <f>IF(('tuot-VKO'!$J$5&gt;0),$O$5-SUM('tuot-VKO'!$C$11:'tuot-VKO'!C88), )</f>
        <v>9990</v>
      </c>
      <c r="C87" s="92">
        <f>IF(('tuot-VKO'!$J$5&gt;0),100-(SUM('tuot-VKO'!C$11:C88))/$O$5*100, )</f>
        <v>100</v>
      </c>
      <c r="D87" s="93">
        <f t="shared" si="64"/>
        <v>92.826398852223818</v>
      </c>
      <c r="E87" s="94">
        <f>IF(('tuot-VKO'!$J$5&gt;0),('tuot-VKO'!D88+'tuot-VKO'!E88)/7/B87*100, )</f>
        <v>0</v>
      </c>
      <c r="F87" s="95">
        <f>IF(('tuot-VKO'!$J$5&gt;0),'tuot-VKO'!D88/7/B87*100, )</f>
        <v>0</v>
      </c>
      <c r="G87" s="93">
        <f t="shared" si="58"/>
        <v>69.7</v>
      </c>
      <c r="H87" s="92">
        <f t="shared" si="47"/>
        <v>0</v>
      </c>
      <c r="I87" s="93">
        <f t="shared" si="48"/>
        <v>440.43999999999994</v>
      </c>
      <c r="J87" s="94">
        <f>IF('tuot-VKO'!F88&gt;0,'tuot-VKO'!F88,J86)</f>
        <v>0</v>
      </c>
      <c r="K87" s="96">
        <f t="shared" si="59"/>
        <v>66.3</v>
      </c>
      <c r="L87" s="92">
        <f>IF(U87&lt;&gt;0,SUMPRODUCT(($J$10:J87)*($Y$10:Y87)/U87),0)</f>
        <v>0</v>
      </c>
      <c r="M87" s="93">
        <f>IF(V87&lt;&gt;0,SUMPRODUCT(($K$10:K87)*($Z$10:Z87)/V87),0)</f>
        <v>63.419838669849383</v>
      </c>
      <c r="N87" s="91">
        <f t="shared" si="44"/>
        <v>0</v>
      </c>
      <c r="O87" s="97">
        <f t="shared" si="45"/>
        <v>300</v>
      </c>
      <c r="P87" s="98">
        <f t="shared" si="55"/>
        <v>0</v>
      </c>
      <c r="Q87" s="99">
        <f t="shared" si="55"/>
        <v>26.939999999999998</v>
      </c>
      <c r="R87" s="94">
        <f>IF(('tuot-VKO'!$J$5&gt;0),('tuot-VKO'!D88+'tuot-VKO'!E88)/7/$O$5*100,0)</f>
        <v>0</v>
      </c>
      <c r="S87" s="95">
        <f>IF(('tuot-VKO'!$J$5&gt;0),'tuot-VKO'!D88/7/$O$5*100,0)</f>
        <v>0</v>
      </c>
      <c r="T87" s="93">
        <f t="shared" si="60"/>
        <v>64.7</v>
      </c>
      <c r="U87" s="94">
        <f t="shared" si="49"/>
        <v>0</v>
      </c>
      <c r="V87" s="93">
        <f t="shared" si="50"/>
        <v>425.21500000000003</v>
      </c>
      <c r="W87" s="245">
        <f t="shared" si="63"/>
        <v>64.820999999999998</v>
      </c>
      <c r="X87" s="245">
        <f t="shared" si="61"/>
        <v>6.9699999999999989</v>
      </c>
      <c r="Y87" s="243">
        <f t="shared" si="51"/>
        <v>0</v>
      </c>
      <c r="Z87" s="243">
        <f t="shared" si="52"/>
        <v>4.5289999999999964</v>
      </c>
      <c r="AA87" s="243">
        <f t="shared" si="53"/>
        <v>0</v>
      </c>
      <c r="AB87" s="243" t="str">
        <f t="shared" si="54"/>
        <v/>
      </c>
      <c r="AC87" s="243" t="str">
        <f t="shared" si="46"/>
        <v/>
      </c>
      <c r="AD87" s="245"/>
      <c r="AE87" s="243">
        <f t="shared" si="56"/>
        <v>100</v>
      </c>
      <c r="AF87" s="245"/>
      <c r="AG87" s="243">
        <f t="shared" si="57"/>
        <v>0</v>
      </c>
      <c r="AH87" s="241">
        <v>69.7</v>
      </c>
      <c r="AJ87" s="241">
        <v>72.900000000000006</v>
      </c>
      <c r="AK87" s="224"/>
      <c r="AL87" s="241">
        <v>66.3</v>
      </c>
      <c r="AM87" s="224"/>
      <c r="AN87" s="241">
        <v>64.7</v>
      </c>
      <c r="AP87" s="241">
        <v>64.7</v>
      </c>
      <c r="AR87" s="241">
        <v>66.400000000000006</v>
      </c>
    </row>
    <row r="88" spans="1:44" x14ac:dyDescent="0.25">
      <c r="A88" s="120">
        <v>93</v>
      </c>
      <c r="B88" s="91">
        <f>IF(('tuot-VKO'!$J$5&gt;0),$O$5-SUM('tuot-VKO'!$C$11:'tuot-VKO'!C89), )</f>
        <v>9990</v>
      </c>
      <c r="C88" s="92">
        <f>IF(('tuot-VKO'!$J$5&gt;0),100-(SUM('tuot-VKO'!C$11:C89))/$O$5*100, )</f>
        <v>100</v>
      </c>
      <c r="D88" s="93">
        <f t="shared" si="64"/>
        <v>92.753623188405797</v>
      </c>
      <c r="E88" s="94">
        <f>IF(('tuot-VKO'!$J$5&gt;0),('tuot-VKO'!D89+'tuot-VKO'!E89)/7/B88*100, )</f>
        <v>0</v>
      </c>
      <c r="F88" s="95">
        <f>IF(('tuot-VKO'!$J$5&gt;0),'tuot-VKO'!D89/7/B88*100, )</f>
        <v>0</v>
      </c>
      <c r="G88" s="93">
        <f t="shared" si="58"/>
        <v>69</v>
      </c>
      <c r="H88" s="92">
        <f t="shared" si="47"/>
        <v>0</v>
      </c>
      <c r="I88" s="93">
        <f t="shared" si="48"/>
        <v>445.26999999999992</v>
      </c>
      <c r="J88" s="94">
        <f>IF('tuot-VKO'!F89&gt;0,'tuot-VKO'!F89,J87)</f>
        <v>0</v>
      </c>
      <c r="K88" s="96">
        <f t="shared" si="59"/>
        <v>66.3</v>
      </c>
      <c r="L88" s="92">
        <f>IF(U88&lt;&gt;0,SUMPRODUCT(($J$10:J88)*($Y$10:Y88)/U88),0)</f>
        <v>0</v>
      </c>
      <c r="M88" s="93">
        <f>IF(V88&lt;&gt;0,SUMPRODUCT(($K$10:K88)*($Z$10:Z88)/V88),0)</f>
        <v>63.449867231408341</v>
      </c>
      <c r="N88" s="91">
        <f t="shared" si="44"/>
        <v>0</v>
      </c>
      <c r="O88" s="97">
        <f t="shared" si="45"/>
        <v>300</v>
      </c>
      <c r="P88" s="98">
        <f t="shared" si="55"/>
        <v>0</v>
      </c>
      <c r="Q88" s="99">
        <f t="shared" si="55"/>
        <v>27.24</v>
      </c>
      <c r="R88" s="94">
        <f>IF(('tuot-VKO'!$J$5&gt;0),('tuot-VKO'!D89+'tuot-VKO'!E89)/7/$O$5*100,0)</f>
        <v>0</v>
      </c>
      <c r="S88" s="95">
        <f>IF(('tuot-VKO'!$J$5&gt;0),'tuot-VKO'!D89/7/$O$5*100,0)</f>
        <v>0</v>
      </c>
      <c r="T88" s="93">
        <f t="shared" si="60"/>
        <v>64</v>
      </c>
      <c r="U88" s="94">
        <f t="shared" si="49"/>
        <v>0</v>
      </c>
      <c r="V88" s="93">
        <f t="shared" si="50"/>
        <v>429.69500000000005</v>
      </c>
      <c r="W88" s="245">
        <f t="shared" si="63"/>
        <v>64.17</v>
      </c>
      <c r="X88" s="245">
        <f t="shared" si="61"/>
        <v>6.8999999999999915</v>
      </c>
      <c r="Y88" s="243">
        <f t="shared" si="51"/>
        <v>0</v>
      </c>
      <c r="Z88" s="243">
        <f t="shared" si="52"/>
        <v>4.4800000000000182</v>
      </c>
      <c r="AA88" s="243">
        <f t="shared" si="53"/>
        <v>0</v>
      </c>
      <c r="AB88" s="243" t="str">
        <f t="shared" si="54"/>
        <v/>
      </c>
      <c r="AC88" s="243" t="str">
        <f t="shared" si="46"/>
        <v/>
      </c>
      <c r="AD88" s="245"/>
      <c r="AE88" s="243">
        <f t="shared" si="56"/>
        <v>100</v>
      </c>
      <c r="AF88" s="245"/>
      <c r="AG88" s="243">
        <f t="shared" si="57"/>
        <v>0</v>
      </c>
      <c r="AH88" s="241">
        <v>69</v>
      </c>
      <c r="AJ88" s="241">
        <v>72</v>
      </c>
      <c r="AK88" s="224"/>
      <c r="AL88" s="241">
        <v>66.3</v>
      </c>
      <c r="AM88" s="224"/>
      <c r="AN88" s="241">
        <v>64.7</v>
      </c>
      <c r="AP88" s="241">
        <v>64</v>
      </c>
      <c r="AR88" s="241">
        <v>65.5</v>
      </c>
    </row>
    <row r="89" spans="1:44" x14ac:dyDescent="0.25">
      <c r="A89" s="120">
        <v>94</v>
      </c>
      <c r="B89" s="91">
        <f>IF(('tuot-VKO'!$J$5&gt;0),$O$5-SUM('tuot-VKO'!$C$11:'tuot-VKO'!C90), )</f>
        <v>9990</v>
      </c>
      <c r="C89" s="92">
        <f>IF(('tuot-VKO'!$J$5&gt;0),100-(SUM('tuot-VKO'!C$11:C90))/$O$5*100, )</f>
        <v>100</v>
      </c>
      <c r="D89" s="93">
        <f t="shared" si="64"/>
        <v>92.543859649122794</v>
      </c>
      <c r="E89" s="94">
        <f>IF(('tuot-VKO'!$J$5&gt;0),('tuot-VKO'!D90+'tuot-VKO'!E90)/7/B89*100, )</f>
        <v>0</v>
      </c>
      <c r="F89" s="95">
        <f>IF(('tuot-VKO'!$J$5&gt;0),'tuot-VKO'!D90/7/B89*100, )</f>
        <v>0</v>
      </c>
      <c r="G89" s="93">
        <f t="shared" si="58"/>
        <v>68.400000000000006</v>
      </c>
      <c r="H89" s="92">
        <f t="shared" si="47"/>
        <v>0</v>
      </c>
      <c r="I89" s="93">
        <f t="shared" si="48"/>
        <v>450.05799999999994</v>
      </c>
      <c r="J89" s="94">
        <f>IF('tuot-VKO'!F90&gt;0,'tuot-VKO'!F90,J88)</f>
        <v>0</v>
      </c>
      <c r="K89" s="96">
        <f t="shared" si="59"/>
        <v>66.3</v>
      </c>
      <c r="L89" s="92">
        <f>IF(U89&lt;&gt;0,SUMPRODUCT(($J$10:J89)*($Y$10:Y89)/U89),0)</f>
        <v>0</v>
      </c>
      <c r="M89" s="93">
        <f>IF(V89&lt;&gt;0,SUMPRODUCT(($K$10:K89)*($Z$10:Z89)/V89),0)</f>
        <v>63.478957721951687</v>
      </c>
      <c r="N89" s="91">
        <f t="shared" si="44"/>
        <v>0</v>
      </c>
      <c r="O89" s="97">
        <f t="shared" si="45"/>
        <v>290</v>
      </c>
      <c r="P89" s="98">
        <f t="shared" si="55"/>
        <v>0</v>
      </c>
      <c r="Q89" s="99">
        <f t="shared" si="55"/>
        <v>27.529999999999998</v>
      </c>
      <c r="R89" s="94">
        <f>IF(('tuot-VKO'!$J$5&gt;0),('tuot-VKO'!D90+'tuot-VKO'!E90)/7/$O$5*100,0)</f>
        <v>0</v>
      </c>
      <c r="S89" s="95">
        <f>IF(('tuot-VKO'!$J$5&gt;0),'tuot-VKO'!D90/7/$O$5*100,0)</f>
        <v>0</v>
      </c>
      <c r="T89" s="93">
        <f t="shared" si="60"/>
        <v>63.3</v>
      </c>
      <c r="U89" s="94">
        <f t="shared" si="49"/>
        <v>0</v>
      </c>
      <c r="V89" s="93">
        <f t="shared" si="50"/>
        <v>434.12600000000003</v>
      </c>
      <c r="W89" s="245">
        <f t="shared" si="63"/>
        <v>63.612000000000002</v>
      </c>
      <c r="X89" s="245">
        <f t="shared" si="61"/>
        <v>6.8400000000000105</v>
      </c>
      <c r="Y89" s="243">
        <f t="shared" si="51"/>
        <v>0</v>
      </c>
      <c r="Z89" s="243">
        <f t="shared" si="52"/>
        <v>4.4309999999999832</v>
      </c>
      <c r="AA89" s="243">
        <f t="shared" si="53"/>
        <v>0</v>
      </c>
      <c r="AB89" s="243" t="str">
        <f t="shared" si="54"/>
        <v/>
      </c>
      <c r="AC89" s="243" t="str">
        <f t="shared" si="46"/>
        <v/>
      </c>
      <c r="AD89" s="245"/>
      <c r="AE89" s="243">
        <f t="shared" si="56"/>
        <v>100</v>
      </c>
      <c r="AF89" s="245"/>
      <c r="AG89" s="243">
        <f t="shared" si="57"/>
        <v>0</v>
      </c>
      <c r="AH89" s="241">
        <v>68.400000000000006</v>
      </c>
      <c r="AJ89" s="241">
        <v>71.099999999999994</v>
      </c>
      <c r="AK89" s="224"/>
      <c r="AL89" s="241">
        <v>66.3</v>
      </c>
      <c r="AM89" s="224"/>
      <c r="AN89" s="241">
        <v>64.7</v>
      </c>
      <c r="AP89" s="241">
        <v>63.3</v>
      </c>
      <c r="AR89" s="241">
        <v>64.599999999999994</v>
      </c>
    </row>
    <row r="90" spans="1:44" ht="15.75" thickBot="1" x14ac:dyDescent="0.3">
      <c r="A90" s="200">
        <v>95</v>
      </c>
      <c r="B90" s="114">
        <f>IF(('tuot-VKO'!$J$5&gt;0),$O$5-SUM('tuot-VKO'!$C$11:'tuot-VKO'!C91), )</f>
        <v>9990</v>
      </c>
      <c r="C90" s="112">
        <f>IF(('tuot-VKO'!$J$5&gt;0),100-(SUM('tuot-VKO'!C$11:C91))/$O$5*100, )</f>
        <v>100</v>
      </c>
      <c r="D90" s="238">
        <f t="shared" si="64"/>
        <v>92.466765140324952</v>
      </c>
      <c r="E90" s="118">
        <f>IF(('tuot-VKO'!$J$5&gt;0),('tuot-VKO'!D91+'tuot-VKO'!E91)/7/B90*100, )</f>
        <v>0</v>
      </c>
      <c r="F90" s="119">
        <f>IF(('tuot-VKO'!$J$5&gt;0),'tuot-VKO'!D91/7/B90*100, )</f>
        <v>0</v>
      </c>
      <c r="G90" s="111">
        <f t="shared" si="58"/>
        <v>67.7</v>
      </c>
      <c r="H90" s="112">
        <f t="shared" si="47"/>
        <v>0</v>
      </c>
      <c r="I90" s="111">
        <f t="shared" si="48"/>
        <v>454.79699999999991</v>
      </c>
      <c r="J90" s="118">
        <f>IF('tuot-VKO'!F91&gt;0,'tuot-VKO'!F91,J89)</f>
        <v>0</v>
      </c>
      <c r="K90" s="113">
        <f t="shared" si="59"/>
        <v>66.3</v>
      </c>
      <c r="L90" s="112">
        <f>IF(U90&lt;&gt;0,SUMPRODUCT(($J$10:J90)*($Y$10:Y90)/U90),0)</f>
        <v>0</v>
      </c>
      <c r="M90" s="111">
        <f>IF(V90&lt;&gt;0,SUMPRODUCT(($K$10:K90)*($Z$10:Z90)/V90),0)</f>
        <v>63.507148330247098</v>
      </c>
      <c r="N90" s="114">
        <f t="shared" si="44"/>
        <v>0</v>
      </c>
      <c r="O90" s="115">
        <f t="shared" si="45"/>
        <v>290</v>
      </c>
      <c r="P90" s="116">
        <f t="shared" si="55"/>
        <v>0</v>
      </c>
      <c r="Q90" s="117">
        <f t="shared" si="55"/>
        <v>27.819999999999997</v>
      </c>
      <c r="R90" s="118">
        <f>IF(('tuot-VKO'!$J$5&gt;0),('tuot-VKO'!D91+'tuot-VKO'!E91)/7/$O$5*100,0)</f>
        <v>0</v>
      </c>
      <c r="S90" s="119">
        <f>IF(('tuot-VKO'!$J$5&gt;0),'tuot-VKO'!D91/7/$O$5*100,0)</f>
        <v>0</v>
      </c>
      <c r="T90" s="111">
        <f t="shared" si="60"/>
        <v>62.6</v>
      </c>
      <c r="U90" s="118">
        <f t="shared" si="49"/>
        <v>0</v>
      </c>
      <c r="V90" s="111">
        <f t="shared" si="50"/>
        <v>438.50800000000004</v>
      </c>
      <c r="W90" s="245">
        <f t="shared" si="63"/>
        <v>62.960999999999999</v>
      </c>
      <c r="X90" s="245">
        <f t="shared" si="61"/>
        <v>6.7700000000000102</v>
      </c>
      <c r="Y90" s="243">
        <f t="shared" si="51"/>
        <v>0</v>
      </c>
      <c r="Z90" s="243">
        <f t="shared" si="52"/>
        <v>4.382000000000005</v>
      </c>
      <c r="AA90" s="243">
        <f t="shared" si="53"/>
        <v>0</v>
      </c>
      <c r="AB90" s="243" t="str">
        <f t="shared" si="54"/>
        <v/>
      </c>
      <c r="AC90" s="243" t="str">
        <f t="shared" si="46"/>
        <v/>
      </c>
      <c r="AD90" s="245"/>
      <c r="AE90" s="243">
        <f t="shared" si="56"/>
        <v>100</v>
      </c>
      <c r="AF90" s="245"/>
      <c r="AG90" s="243">
        <f t="shared" si="57"/>
        <v>0</v>
      </c>
      <c r="AH90" s="241">
        <v>67.7</v>
      </c>
      <c r="AJ90" s="241">
        <v>70.3</v>
      </c>
      <c r="AK90" s="224"/>
      <c r="AL90" s="241">
        <v>66.3</v>
      </c>
      <c r="AM90" s="224"/>
      <c r="AN90" s="241">
        <v>64.7</v>
      </c>
      <c r="AP90" s="241">
        <v>62.6</v>
      </c>
      <c r="AR90" s="241">
        <v>63.7</v>
      </c>
    </row>
    <row r="91" spans="1:44" ht="15.75" thickTop="1" x14ac:dyDescent="0.25">
      <c r="A91" s="120">
        <v>96</v>
      </c>
      <c r="B91" s="91">
        <f>IF(('tuot-VKO'!$J$5&gt;0),$O$5-SUM('tuot-VKO'!$C$11:'tuot-VKO'!C92), )</f>
        <v>9990</v>
      </c>
      <c r="C91" s="92">
        <f>IF(('tuot-VKO'!$J$5&gt;0),100-(SUM('tuot-VKO'!C$11:C92))/$O$5*100, )</f>
        <v>100</v>
      </c>
      <c r="D91" s="93"/>
      <c r="E91" s="94">
        <f>IF(('tuot-VKO'!$J$5&gt;0),('tuot-VKO'!D92+'tuot-VKO'!E92)/7/B91*100, )</f>
        <v>0</v>
      </c>
      <c r="F91" s="95">
        <f>IF(('tuot-VKO'!$J$5&gt;0),'tuot-VKO'!D92/7/B91*100, )</f>
        <v>0</v>
      </c>
      <c r="G91" s="93"/>
      <c r="H91" s="92">
        <f t="shared" si="47"/>
        <v>0</v>
      </c>
      <c r="I91" s="93">
        <f t="shared" si="48"/>
        <v>0</v>
      </c>
      <c r="J91" s="94">
        <f>IF('tuot-VKO'!F92&gt;0,'tuot-VKO'!F92,J90)</f>
        <v>0</v>
      </c>
      <c r="K91" s="96"/>
      <c r="L91" s="92">
        <f>IF(U91&lt;&gt;0,SUMPRODUCT(($J$10:J91)*($Y$10:Y91)/U91),0)</f>
        <v>0</v>
      </c>
      <c r="M91" s="93">
        <f>IF(V91&lt;&gt;0,SUMPRODUCT(($K$10:K91)*($Z$10:Z91)/V91),0)</f>
        <v>0</v>
      </c>
      <c r="N91" s="91">
        <f t="shared" si="44"/>
        <v>0</v>
      </c>
      <c r="O91" s="97">
        <f t="shared" si="45"/>
        <v>0</v>
      </c>
      <c r="P91" s="98">
        <f t="shared" si="55"/>
        <v>0</v>
      </c>
      <c r="Q91" s="99">
        <f t="shared" si="55"/>
        <v>27.819999999999997</v>
      </c>
      <c r="R91" s="94">
        <f>IF(('tuot-VKO'!$J$5&gt;0),('tuot-VKO'!D92+'tuot-VKO'!E92)/7/$O$5*100,0)</f>
        <v>0</v>
      </c>
      <c r="S91" s="95">
        <f>IF(('tuot-VKO'!$J$5&gt;0),'tuot-VKO'!D92/7/$O$5*100,0)</f>
        <v>0</v>
      </c>
      <c r="T91" s="93"/>
      <c r="U91" s="94">
        <f t="shared" si="49"/>
        <v>0</v>
      </c>
      <c r="V91" s="93">
        <f t="shared" si="50"/>
        <v>0</v>
      </c>
      <c r="W91" s="245">
        <f t="shared" si="63"/>
        <v>0</v>
      </c>
      <c r="X91" s="245">
        <f t="shared" si="61"/>
        <v>0</v>
      </c>
      <c r="Y91" s="243">
        <f t="shared" si="51"/>
        <v>0</v>
      </c>
      <c r="Z91" s="243">
        <f t="shared" si="52"/>
        <v>-438.50800000000004</v>
      </c>
      <c r="AA91" s="243">
        <f t="shared" si="53"/>
        <v>0</v>
      </c>
      <c r="AB91" s="243" t="str">
        <f t="shared" si="54"/>
        <v/>
      </c>
      <c r="AC91" s="243" t="str">
        <f t="shared" si="46"/>
        <v/>
      </c>
      <c r="AD91" s="245"/>
      <c r="AE91" s="243">
        <f t="shared" si="56"/>
        <v>100</v>
      </c>
      <c r="AF91" s="245"/>
      <c r="AG91" s="243">
        <f t="shared" si="57"/>
        <v>0</v>
      </c>
      <c r="AH91" s="246"/>
      <c r="AI91" s="246"/>
      <c r="AJ91" s="224"/>
      <c r="AK91" s="224"/>
      <c r="AL91" s="224"/>
      <c r="AM91" s="224"/>
    </row>
    <row r="92" spans="1:44" x14ac:dyDescent="0.25">
      <c r="A92" s="120">
        <v>97</v>
      </c>
      <c r="B92" s="91">
        <f>IF(('tuot-VKO'!$J$5&gt;0),$O$5-SUM('tuot-VKO'!$C$11:'tuot-VKO'!C93), )</f>
        <v>9990</v>
      </c>
      <c r="C92" s="92">
        <f>IF(('tuot-VKO'!$J$5&gt;0),100-(SUM('tuot-VKO'!C$11:C93))/$O$5*100, )</f>
        <v>100</v>
      </c>
      <c r="D92" s="93"/>
      <c r="E92" s="94">
        <f>IF(('tuot-VKO'!$J$5&gt;0),('tuot-VKO'!D93+'tuot-VKO'!E93)/7/B92*100, )</f>
        <v>0</v>
      </c>
      <c r="F92" s="95">
        <f>IF(('tuot-VKO'!$J$5&gt;0),'tuot-VKO'!D93/7/B92*100, )</f>
        <v>0</v>
      </c>
      <c r="G92" s="93"/>
      <c r="H92" s="92">
        <f t="shared" si="47"/>
        <v>0</v>
      </c>
      <c r="I92" s="93">
        <f t="shared" si="48"/>
        <v>0</v>
      </c>
      <c r="J92" s="94">
        <f>IF('tuot-VKO'!F93&gt;0,'tuot-VKO'!F93,J91)</f>
        <v>0</v>
      </c>
      <c r="K92" s="96"/>
      <c r="L92" s="92">
        <f>IF(U92&lt;&gt;0,SUMPRODUCT(($J$10:J92)*($Y$10:Y92)/U92),0)</f>
        <v>0</v>
      </c>
      <c r="M92" s="93">
        <f>IF(V92&lt;&gt;0,SUMPRODUCT(($K$10:K92)*($Z$10:Z92)/V92),0)</f>
        <v>0</v>
      </c>
      <c r="N92" s="91">
        <f t="shared" si="44"/>
        <v>0</v>
      </c>
      <c r="O92" s="97">
        <f t="shared" si="45"/>
        <v>0</v>
      </c>
      <c r="P92" s="98">
        <f t="shared" ref="P92:Q107" si="65">P91+N92/1000</f>
        <v>0</v>
      </c>
      <c r="Q92" s="99">
        <f t="shared" si="65"/>
        <v>27.819999999999997</v>
      </c>
      <c r="R92" s="94">
        <f>IF(('tuot-VKO'!$J$5&gt;0),('tuot-VKO'!D93+'tuot-VKO'!E93)/7/$O$5*100,0)</f>
        <v>0</v>
      </c>
      <c r="S92" s="95">
        <f>IF(('tuot-VKO'!$J$5&gt;0),'tuot-VKO'!D93/7/$O$5*100,0)</f>
        <v>0</v>
      </c>
      <c r="T92" s="93"/>
      <c r="U92" s="94">
        <f t="shared" si="49"/>
        <v>0</v>
      </c>
      <c r="V92" s="93">
        <f t="shared" si="50"/>
        <v>0</v>
      </c>
      <c r="W92" s="245">
        <f t="shared" si="63"/>
        <v>0</v>
      </c>
      <c r="X92" s="245">
        <f t="shared" si="61"/>
        <v>0</v>
      </c>
      <c r="Y92" s="243">
        <f t="shared" si="51"/>
        <v>0</v>
      </c>
      <c r="Z92" s="243">
        <f t="shared" si="52"/>
        <v>0</v>
      </c>
      <c r="AA92" s="243">
        <f t="shared" si="53"/>
        <v>0</v>
      </c>
      <c r="AB92" s="243" t="str">
        <f t="shared" si="54"/>
        <v/>
      </c>
      <c r="AC92" s="243" t="str">
        <f t="shared" si="46"/>
        <v/>
      </c>
      <c r="AD92" s="245"/>
      <c r="AE92" s="243">
        <f t="shared" si="56"/>
        <v>100</v>
      </c>
      <c r="AF92" s="245"/>
      <c r="AG92" s="243">
        <f t="shared" si="57"/>
        <v>0</v>
      </c>
      <c r="AH92" s="246"/>
      <c r="AI92" s="246"/>
      <c r="AJ92" s="224"/>
      <c r="AK92" s="224"/>
      <c r="AL92" s="224"/>
      <c r="AM92" s="224"/>
    </row>
    <row r="93" spans="1:44" x14ac:dyDescent="0.25">
      <c r="A93" s="120">
        <v>98</v>
      </c>
      <c r="B93" s="91">
        <f>IF(('tuot-VKO'!$J$5&gt;0),$O$5-SUM('tuot-VKO'!$C$11:'tuot-VKO'!C94), )</f>
        <v>9990</v>
      </c>
      <c r="C93" s="92">
        <f>IF(('tuot-VKO'!$J$5&gt;0),100-(SUM('tuot-VKO'!C$11:C94))/$O$5*100, )</f>
        <v>100</v>
      </c>
      <c r="D93" s="93"/>
      <c r="E93" s="94">
        <f>IF(('tuot-VKO'!$J$5&gt;0),('tuot-VKO'!D94+'tuot-VKO'!E94)/7/B93*100, )</f>
        <v>0</v>
      </c>
      <c r="F93" s="95">
        <f>IF(('tuot-VKO'!$J$5&gt;0),'tuot-VKO'!D94/7/B93*100, )</f>
        <v>0</v>
      </c>
      <c r="G93" s="93"/>
      <c r="H93" s="92">
        <f t="shared" si="47"/>
        <v>0</v>
      </c>
      <c r="I93" s="93">
        <f t="shared" si="48"/>
        <v>0</v>
      </c>
      <c r="J93" s="94">
        <f>IF('tuot-VKO'!F94&gt;0,'tuot-VKO'!F94,J92)</f>
        <v>0</v>
      </c>
      <c r="K93" s="96"/>
      <c r="L93" s="92">
        <f>IF(U93&lt;&gt;0,SUMPRODUCT(($J$10:J93)*($Y$10:Y93)/U93),0)</f>
        <v>0</v>
      </c>
      <c r="M93" s="93">
        <f>IF(V93&lt;&gt;0,SUMPRODUCT(($K$10:K93)*($Z$10:Z93)/V93),0)</f>
        <v>0</v>
      </c>
      <c r="N93" s="91">
        <f t="shared" si="44"/>
        <v>0</v>
      </c>
      <c r="O93" s="97">
        <f t="shared" si="45"/>
        <v>0</v>
      </c>
      <c r="P93" s="98">
        <f t="shared" si="65"/>
        <v>0</v>
      </c>
      <c r="Q93" s="99">
        <f t="shared" si="65"/>
        <v>27.819999999999997</v>
      </c>
      <c r="R93" s="94">
        <f>IF(('tuot-VKO'!$J$5&gt;0),('tuot-VKO'!D94+'tuot-VKO'!E94)/7/$O$5*100,0)</f>
        <v>0</v>
      </c>
      <c r="S93" s="95">
        <f>IF(('tuot-VKO'!$J$5&gt;0),'tuot-VKO'!D94/7/$O$5*100,0)</f>
        <v>0</v>
      </c>
      <c r="T93" s="93"/>
      <c r="U93" s="94">
        <f t="shared" si="49"/>
        <v>0</v>
      </c>
      <c r="V93" s="93">
        <f t="shared" si="50"/>
        <v>0</v>
      </c>
      <c r="W93" s="245">
        <f t="shared" si="63"/>
        <v>0</v>
      </c>
      <c r="X93" s="245">
        <f t="shared" si="61"/>
        <v>0</v>
      </c>
      <c r="Y93" s="243">
        <f t="shared" si="51"/>
        <v>0</v>
      </c>
      <c r="Z93" s="243">
        <f t="shared" si="52"/>
        <v>0</v>
      </c>
      <c r="AA93" s="243">
        <f t="shared" si="53"/>
        <v>0</v>
      </c>
      <c r="AB93" s="243" t="str">
        <f t="shared" si="54"/>
        <v/>
      </c>
      <c r="AC93" s="243" t="str">
        <f t="shared" si="46"/>
        <v/>
      </c>
      <c r="AD93" s="245"/>
      <c r="AE93" s="243">
        <f t="shared" si="56"/>
        <v>100</v>
      </c>
      <c r="AF93" s="245"/>
      <c r="AG93" s="243">
        <f t="shared" si="57"/>
        <v>0</v>
      </c>
      <c r="AH93" s="246"/>
      <c r="AI93" s="246"/>
      <c r="AJ93" s="224"/>
      <c r="AK93" s="224"/>
      <c r="AL93" s="224"/>
      <c r="AM93" s="224"/>
    </row>
    <row r="94" spans="1:44" x14ac:dyDescent="0.25">
      <c r="A94" s="120">
        <v>99</v>
      </c>
      <c r="B94" s="91">
        <f>IF(('tuot-VKO'!$J$5&gt;0),$O$5-SUM('tuot-VKO'!$C$11:'tuot-VKO'!C95), )</f>
        <v>9990</v>
      </c>
      <c r="C94" s="92">
        <f>IF(('tuot-VKO'!$J$5&gt;0),100-(SUM('tuot-VKO'!C$11:C95))/$O$5*100, )</f>
        <v>100</v>
      </c>
      <c r="D94" s="93"/>
      <c r="E94" s="94">
        <f>IF(('tuot-VKO'!$J$5&gt;0),('tuot-VKO'!D95+'tuot-VKO'!E95)/7/B94*100, )</f>
        <v>0</v>
      </c>
      <c r="F94" s="95">
        <f>IF(('tuot-VKO'!$J$5&gt;0),'tuot-VKO'!D95/7/B94*100, )</f>
        <v>0</v>
      </c>
      <c r="G94" s="93"/>
      <c r="H94" s="92">
        <f t="shared" si="47"/>
        <v>0</v>
      </c>
      <c r="I94" s="93">
        <f t="shared" si="48"/>
        <v>0</v>
      </c>
      <c r="J94" s="94">
        <f>IF('tuot-VKO'!F95&gt;0,'tuot-VKO'!F95,J93)</f>
        <v>0</v>
      </c>
      <c r="K94" s="96"/>
      <c r="L94" s="92">
        <f>IF(U94&lt;&gt;0,SUMPRODUCT(($J$10:J94)*($Y$10:Y94)/U94),0)</f>
        <v>0</v>
      </c>
      <c r="M94" s="93">
        <f>IF(V94&lt;&gt;0,SUMPRODUCT(($K$10:K94)*($Z$10:Z94)/V94),0)</f>
        <v>0</v>
      </c>
      <c r="N94" s="91">
        <f t="shared" si="44"/>
        <v>0</v>
      </c>
      <c r="O94" s="97">
        <f t="shared" si="45"/>
        <v>0</v>
      </c>
      <c r="P94" s="98">
        <f t="shared" si="65"/>
        <v>0</v>
      </c>
      <c r="Q94" s="99">
        <f t="shared" si="65"/>
        <v>27.819999999999997</v>
      </c>
      <c r="R94" s="94">
        <f>IF(('tuot-VKO'!$J$5&gt;0),('tuot-VKO'!D95+'tuot-VKO'!E95)/7/$O$5*100,0)</f>
        <v>0</v>
      </c>
      <c r="S94" s="95">
        <f>IF(('tuot-VKO'!$J$5&gt;0),'tuot-VKO'!D95/7/$O$5*100,0)</f>
        <v>0</v>
      </c>
      <c r="T94" s="93"/>
      <c r="U94" s="94">
        <f t="shared" si="49"/>
        <v>0</v>
      </c>
      <c r="V94" s="93">
        <f t="shared" si="50"/>
        <v>0</v>
      </c>
      <c r="W94" s="245">
        <f t="shared" si="63"/>
        <v>0</v>
      </c>
      <c r="X94" s="245">
        <f t="shared" si="61"/>
        <v>0</v>
      </c>
      <c r="Y94" s="243">
        <f t="shared" si="51"/>
        <v>0</v>
      </c>
      <c r="Z94" s="243">
        <f t="shared" si="52"/>
        <v>0</v>
      </c>
      <c r="AA94" s="243">
        <f t="shared" si="53"/>
        <v>0</v>
      </c>
      <c r="AB94" s="243" t="str">
        <f t="shared" si="54"/>
        <v/>
      </c>
      <c r="AC94" s="243" t="str">
        <f t="shared" si="46"/>
        <v/>
      </c>
      <c r="AD94" s="245"/>
      <c r="AE94" s="243">
        <f t="shared" si="56"/>
        <v>100</v>
      </c>
      <c r="AF94" s="245"/>
      <c r="AG94" s="243">
        <f t="shared" si="57"/>
        <v>0</v>
      </c>
      <c r="AH94" s="246"/>
      <c r="AI94" s="246"/>
      <c r="AJ94" s="224"/>
      <c r="AK94" s="224"/>
      <c r="AL94" s="224"/>
      <c r="AM94" s="224"/>
    </row>
    <row r="95" spans="1:44" x14ac:dyDescent="0.25">
      <c r="A95" s="121">
        <v>100</v>
      </c>
      <c r="B95" s="101">
        <f>IF(('tuot-VKO'!$J$5&gt;0),$O$5-SUM('tuot-VKO'!$C$11:'tuot-VKO'!C96), )</f>
        <v>9990</v>
      </c>
      <c r="C95" s="102">
        <f>IF(('tuot-VKO'!$J$5&gt;0),100-(SUM('tuot-VKO'!C$11:C96))/$O$5*100, )</f>
        <v>100</v>
      </c>
      <c r="D95" s="103"/>
      <c r="E95" s="104">
        <f>IF(('tuot-VKO'!$J$5&gt;0),('tuot-VKO'!D96+'tuot-VKO'!E96)/7/B95*100, )</f>
        <v>0</v>
      </c>
      <c r="F95" s="105">
        <f>IF(('tuot-VKO'!$J$5&gt;0),'tuot-VKO'!D96/7/B95*100, )</f>
        <v>0</v>
      </c>
      <c r="G95" s="103"/>
      <c r="H95" s="102">
        <f t="shared" si="47"/>
        <v>0</v>
      </c>
      <c r="I95" s="103">
        <f t="shared" si="48"/>
        <v>0</v>
      </c>
      <c r="J95" s="104">
        <f>IF('tuot-VKO'!F96&gt;0,'tuot-VKO'!F96,J94)</f>
        <v>0</v>
      </c>
      <c r="K95" s="106"/>
      <c r="L95" s="102">
        <f>IF(U95&lt;&gt;0,SUMPRODUCT(($J$10:J95)*($Y$10:Y95)/U95),0)</f>
        <v>0</v>
      </c>
      <c r="M95" s="103">
        <f>IF(V95&lt;&gt;0,SUMPRODUCT(($K$10:K95)*($Z$10:Z95)/V95),0)</f>
        <v>0</v>
      </c>
      <c r="N95" s="101">
        <f t="shared" si="44"/>
        <v>0</v>
      </c>
      <c r="O95" s="107">
        <f t="shared" si="45"/>
        <v>0</v>
      </c>
      <c r="P95" s="108">
        <f t="shared" si="65"/>
        <v>0</v>
      </c>
      <c r="Q95" s="109">
        <f t="shared" si="65"/>
        <v>27.819999999999997</v>
      </c>
      <c r="R95" s="104">
        <f>IF(('tuot-VKO'!$J$5&gt;0),('tuot-VKO'!D96+'tuot-VKO'!E96)/7/$O$5*100,0)</f>
        <v>0</v>
      </c>
      <c r="S95" s="105">
        <f>IF(('tuot-VKO'!$J$5&gt;0),'tuot-VKO'!D96/7/$O$5*100,0)</f>
        <v>0</v>
      </c>
      <c r="T95" s="103"/>
      <c r="U95" s="104">
        <f t="shared" si="49"/>
        <v>0</v>
      </c>
      <c r="V95" s="103">
        <f t="shared" si="50"/>
        <v>0</v>
      </c>
      <c r="W95" s="245">
        <f t="shared" si="63"/>
        <v>0</v>
      </c>
      <c r="X95" s="245">
        <f t="shared" si="61"/>
        <v>0</v>
      </c>
      <c r="Y95" s="243">
        <f t="shared" si="51"/>
        <v>0</v>
      </c>
      <c r="Z95" s="243">
        <f t="shared" si="52"/>
        <v>0</v>
      </c>
      <c r="AA95" s="243">
        <f t="shared" si="53"/>
        <v>0</v>
      </c>
      <c r="AB95" s="243" t="str">
        <f t="shared" si="54"/>
        <v/>
      </c>
      <c r="AC95" s="243" t="str">
        <f t="shared" si="46"/>
        <v/>
      </c>
      <c r="AD95" s="245"/>
      <c r="AE95" s="243">
        <f t="shared" si="56"/>
        <v>100</v>
      </c>
      <c r="AF95" s="245"/>
      <c r="AG95" s="243">
        <f t="shared" si="57"/>
        <v>0</v>
      </c>
      <c r="AH95" s="246"/>
      <c r="AI95" s="246"/>
      <c r="AJ95" s="224"/>
      <c r="AK95" s="224"/>
      <c r="AL95" s="224"/>
      <c r="AM95" s="224"/>
    </row>
    <row r="96" spans="1:44" x14ac:dyDescent="0.25">
      <c r="A96" s="120">
        <v>101</v>
      </c>
      <c r="B96" s="91">
        <f>IF(('tuot-VKO'!$J$5&gt;0),$O$5-SUM('tuot-VKO'!$C$11:'tuot-VKO'!C97), )</f>
        <v>9990</v>
      </c>
      <c r="C96" s="92">
        <f>IF(('tuot-VKO'!$J$5&gt;0),100-(SUM('tuot-VKO'!C$11:C97))/$O$5*100, )</f>
        <v>100</v>
      </c>
      <c r="D96" s="93"/>
      <c r="E96" s="94">
        <f>IF(('tuot-VKO'!$J$5&gt;0),('tuot-VKO'!D97+'tuot-VKO'!E97)/7/B96*100, )</f>
        <v>0</v>
      </c>
      <c r="F96" s="95">
        <f>IF(('tuot-VKO'!$J$5&gt;0),'tuot-VKO'!D97/7/B96*100, )</f>
        <v>0</v>
      </c>
      <c r="G96" s="93"/>
      <c r="H96" s="92">
        <f t="shared" si="47"/>
        <v>0</v>
      </c>
      <c r="I96" s="93">
        <f t="shared" si="48"/>
        <v>0</v>
      </c>
      <c r="J96" s="94">
        <f>IF('tuot-VKO'!F97&gt;0,'tuot-VKO'!F97,J95)</f>
        <v>0</v>
      </c>
      <c r="K96" s="96"/>
      <c r="L96" s="92">
        <f>IF(U96&lt;&gt;0,SUMPRODUCT(($J$10:J96)*($Y$10:Y96)/U96),0)</f>
        <v>0</v>
      </c>
      <c r="M96" s="93">
        <f>IF(V96&lt;&gt;0,SUMPRODUCT(($K$10:K96)*($Z$10:Z96)/V96),0)</f>
        <v>0</v>
      </c>
      <c r="N96" s="91">
        <f t="shared" si="44"/>
        <v>0</v>
      </c>
      <c r="O96" s="97">
        <f t="shared" si="45"/>
        <v>0</v>
      </c>
      <c r="P96" s="98">
        <f t="shared" si="65"/>
        <v>0</v>
      </c>
      <c r="Q96" s="99">
        <f t="shared" si="65"/>
        <v>27.819999999999997</v>
      </c>
      <c r="R96" s="94">
        <f>IF(('tuot-VKO'!$J$5&gt;0),('tuot-VKO'!D97+'tuot-VKO'!E97)/7/$O$5*100,0)</f>
        <v>0</v>
      </c>
      <c r="S96" s="95">
        <f>IF(('tuot-VKO'!$J$5&gt;0),'tuot-VKO'!D97/7/$O$5*100,0)</f>
        <v>0</v>
      </c>
      <c r="T96" s="93"/>
      <c r="U96" s="94">
        <f t="shared" si="49"/>
        <v>0</v>
      </c>
      <c r="V96" s="93">
        <f t="shared" si="50"/>
        <v>0</v>
      </c>
      <c r="W96" s="245">
        <f t="shared" si="63"/>
        <v>0</v>
      </c>
      <c r="X96" s="245">
        <f t="shared" si="61"/>
        <v>0</v>
      </c>
      <c r="Y96" s="243">
        <f t="shared" si="51"/>
        <v>0</v>
      </c>
      <c r="Z96" s="243">
        <f t="shared" si="52"/>
        <v>0</v>
      </c>
      <c r="AA96" s="243">
        <f t="shared" si="53"/>
        <v>0</v>
      </c>
      <c r="AB96" s="243" t="str">
        <f t="shared" si="54"/>
        <v/>
      </c>
      <c r="AC96" s="243" t="str">
        <f t="shared" si="46"/>
        <v/>
      </c>
      <c r="AD96" s="245"/>
      <c r="AE96" s="243">
        <f t="shared" si="56"/>
        <v>100</v>
      </c>
      <c r="AF96" s="245"/>
      <c r="AG96" s="243">
        <f t="shared" si="57"/>
        <v>0</v>
      </c>
      <c r="AH96" s="246"/>
      <c r="AI96" s="246"/>
      <c r="AJ96" s="224"/>
      <c r="AK96" s="224"/>
      <c r="AL96" s="224"/>
      <c r="AM96" s="224"/>
    </row>
    <row r="97" spans="1:39" x14ac:dyDescent="0.25">
      <c r="A97" s="120">
        <v>102</v>
      </c>
      <c r="B97" s="91">
        <f>IF(('tuot-VKO'!$J$5&gt;0),$O$5-SUM('tuot-VKO'!$C$11:'tuot-VKO'!C98), )</f>
        <v>9990</v>
      </c>
      <c r="C97" s="92">
        <f>IF(('tuot-VKO'!$J$5&gt;0),100-(SUM('tuot-VKO'!C$11:C98))/$O$5*100, )</f>
        <v>100</v>
      </c>
      <c r="D97" s="93"/>
      <c r="E97" s="94">
        <f>IF(('tuot-VKO'!$J$5&gt;0),('tuot-VKO'!D98+'tuot-VKO'!E98)/7/B97*100, )</f>
        <v>0</v>
      </c>
      <c r="F97" s="95">
        <f>IF(('tuot-VKO'!$J$5&gt;0),'tuot-VKO'!D98/7/B97*100, )</f>
        <v>0</v>
      </c>
      <c r="G97" s="93"/>
      <c r="H97" s="92">
        <f t="shared" si="47"/>
        <v>0</v>
      </c>
      <c r="I97" s="93">
        <f t="shared" si="48"/>
        <v>0</v>
      </c>
      <c r="J97" s="94">
        <f>IF('tuot-VKO'!F98&gt;0,'tuot-VKO'!F98,J96)</f>
        <v>0</v>
      </c>
      <c r="K97" s="96"/>
      <c r="L97" s="92">
        <f>IF(U97&lt;&gt;0,SUMPRODUCT(($J$10:J97)*($Y$10:Y97)/U97),0)</f>
        <v>0</v>
      </c>
      <c r="M97" s="93">
        <f>IF(V97&lt;&gt;0,SUMPRODUCT(($K$10:K97)*($Z$10:Z97)/V97),0)</f>
        <v>0</v>
      </c>
      <c r="N97" s="91">
        <f t="shared" si="44"/>
        <v>0</v>
      </c>
      <c r="O97" s="97">
        <f t="shared" si="45"/>
        <v>0</v>
      </c>
      <c r="P97" s="98">
        <f t="shared" si="65"/>
        <v>0</v>
      </c>
      <c r="Q97" s="99">
        <f t="shared" si="65"/>
        <v>27.819999999999997</v>
      </c>
      <c r="R97" s="94">
        <f>IF(('tuot-VKO'!$J$5&gt;0),('tuot-VKO'!D98+'tuot-VKO'!E98)/7/$O$5*100,0)</f>
        <v>0</v>
      </c>
      <c r="S97" s="95">
        <f>IF(('tuot-VKO'!$J$5&gt;0),'tuot-VKO'!D98/7/$O$5*100,0)</f>
        <v>0</v>
      </c>
      <c r="T97" s="93"/>
      <c r="U97" s="94">
        <f t="shared" si="49"/>
        <v>0</v>
      </c>
      <c r="V97" s="93">
        <f t="shared" si="50"/>
        <v>0</v>
      </c>
      <c r="W97" s="245">
        <f t="shared" si="63"/>
        <v>0</v>
      </c>
      <c r="X97" s="245">
        <f t="shared" si="61"/>
        <v>0</v>
      </c>
      <c r="Y97" s="243">
        <f t="shared" si="51"/>
        <v>0</v>
      </c>
      <c r="Z97" s="243">
        <f t="shared" si="52"/>
        <v>0</v>
      </c>
      <c r="AA97" s="243">
        <f t="shared" si="53"/>
        <v>0</v>
      </c>
      <c r="AB97" s="243" t="str">
        <f t="shared" si="54"/>
        <v/>
      </c>
      <c r="AC97" s="243" t="str">
        <f t="shared" si="46"/>
        <v/>
      </c>
      <c r="AD97" s="245"/>
      <c r="AE97" s="243">
        <f t="shared" si="56"/>
        <v>100</v>
      </c>
      <c r="AF97" s="245"/>
      <c r="AG97" s="243">
        <f t="shared" si="57"/>
        <v>0</v>
      </c>
      <c r="AH97" s="246"/>
      <c r="AI97" s="246"/>
      <c r="AJ97" s="224"/>
      <c r="AK97" s="224"/>
      <c r="AL97" s="224"/>
      <c r="AM97" s="224"/>
    </row>
    <row r="98" spans="1:39" x14ac:dyDescent="0.25">
      <c r="A98" s="120">
        <v>103</v>
      </c>
      <c r="B98" s="91">
        <f>IF(('tuot-VKO'!$J$5&gt;0),$O$5-SUM('tuot-VKO'!$C$11:'tuot-VKO'!C99), )</f>
        <v>9990</v>
      </c>
      <c r="C98" s="92">
        <f>IF(('tuot-VKO'!$J$5&gt;0),100-(SUM('tuot-VKO'!C$11:C99))/$O$5*100, )</f>
        <v>100</v>
      </c>
      <c r="D98" s="93"/>
      <c r="E98" s="94">
        <f>IF(('tuot-VKO'!$J$5&gt;0),('tuot-VKO'!D99+'tuot-VKO'!E99)/7/B98*100, )</f>
        <v>0</v>
      </c>
      <c r="F98" s="95">
        <f>IF(('tuot-VKO'!$J$5&gt;0),'tuot-VKO'!D99/7/B98*100, )</f>
        <v>0</v>
      </c>
      <c r="G98" s="93"/>
      <c r="H98" s="92">
        <f t="shared" si="47"/>
        <v>0</v>
      </c>
      <c r="I98" s="93">
        <f t="shared" si="48"/>
        <v>0</v>
      </c>
      <c r="J98" s="94">
        <f>IF('tuot-VKO'!F99&gt;0,'tuot-VKO'!F99,J97)</f>
        <v>0</v>
      </c>
      <c r="K98" s="96"/>
      <c r="L98" s="92">
        <f>IF(U98&lt;&gt;0,SUMPRODUCT(($J$10:J98)*($Y$10:Y98)/U98),0)</f>
        <v>0</v>
      </c>
      <c r="M98" s="93">
        <f>IF(V98&lt;&gt;0,SUMPRODUCT(($K$10:K98)*($Z$10:Z98)/V98),0)</f>
        <v>0</v>
      </c>
      <c r="N98" s="91">
        <f t="shared" si="44"/>
        <v>0</v>
      </c>
      <c r="O98" s="97">
        <f t="shared" si="45"/>
        <v>0</v>
      </c>
      <c r="P98" s="98">
        <f t="shared" si="65"/>
        <v>0</v>
      </c>
      <c r="Q98" s="99">
        <f t="shared" si="65"/>
        <v>27.819999999999997</v>
      </c>
      <c r="R98" s="94">
        <f>IF(('tuot-VKO'!$J$5&gt;0),('tuot-VKO'!D99+'tuot-VKO'!E99)/7/$O$5*100,0)</f>
        <v>0</v>
      </c>
      <c r="S98" s="95">
        <f>IF(('tuot-VKO'!$J$5&gt;0),'tuot-VKO'!D99/7/$O$5*100,0)</f>
        <v>0</v>
      </c>
      <c r="T98" s="93"/>
      <c r="U98" s="94">
        <f t="shared" si="49"/>
        <v>0</v>
      </c>
      <c r="V98" s="93">
        <f t="shared" si="50"/>
        <v>0</v>
      </c>
      <c r="W98" s="245">
        <f t="shared" si="63"/>
        <v>0</v>
      </c>
      <c r="X98" s="245">
        <f t="shared" si="61"/>
        <v>0</v>
      </c>
      <c r="Y98" s="243">
        <f t="shared" si="51"/>
        <v>0</v>
      </c>
      <c r="Z98" s="243">
        <f t="shared" si="52"/>
        <v>0</v>
      </c>
      <c r="AA98" s="243">
        <f t="shared" si="53"/>
        <v>0</v>
      </c>
      <c r="AB98" s="243" t="str">
        <f t="shared" si="54"/>
        <v/>
      </c>
      <c r="AC98" s="243" t="str">
        <f t="shared" si="46"/>
        <v/>
      </c>
      <c r="AD98" s="245"/>
      <c r="AE98" s="243">
        <f t="shared" si="56"/>
        <v>100</v>
      </c>
      <c r="AF98" s="245"/>
      <c r="AG98" s="243">
        <f t="shared" si="57"/>
        <v>0</v>
      </c>
      <c r="AH98" s="246"/>
      <c r="AI98" s="246"/>
      <c r="AJ98" s="224"/>
      <c r="AK98" s="224"/>
      <c r="AL98" s="224"/>
      <c r="AM98" s="224"/>
    </row>
    <row r="99" spans="1:39" x14ac:dyDescent="0.25">
      <c r="A99" s="120">
        <v>104</v>
      </c>
      <c r="B99" s="91">
        <f>IF(('tuot-VKO'!$J$5&gt;0),$O$5-SUM('tuot-VKO'!$C$11:'tuot-VKO'!C100), )</f>
        <v>9990</v>
      </c>
      <c r="C99" s="92">
        <f>IF(('tuot-VKO'!$J$5&gt;0),100-(SUM('tuot-VKO'!C$11:C100))/$O$5*100, )</f>
        <v>100</v>
      </c>
      <c r="D99" s="93"/>
      <c r="E99" s="94">
        <f>IF(('tuot-VKO'!$J$5&gt;0),('tuot-VKO'!D100+'tuot-VKO'!E100)/7/B99*100, )</f>
        <v>0</v>
      </c>
      <c r="F99" s="95">
        <f>IF(('tuot-VKO'!$J$5&gt;0),'tuot-VKO'!D100/7/B99*100, )</f>
        <v>0</v>
      </c>
      <c r="G99" s="93"/>
      <c r="H99" s="92">
        <f t="shared" si="47"/>
        <v>0</v>
      </c>
      <c r="I99" s="93">
        <f t="shared" si="48"/>
        <v>0</v>
      </c>
      <c r="J99" s="94">
        <f>IF('tuot-VKO'!F100&gt;0,'tuot-VKO'!F100,J98)</f>
        <v>0</v>
      </c>
      <c r="K99" s="96"/>
      <c r="L99" s="92">
        <f>IF(U99&lt;&gt;0,SUMPRODUCT(($J$10:J99)*($Y$10:Y99)/U99),0)</f>
        <v>0</v>
      </c>
      <c r="M99" s="93">
        <f>IF(V99&lt;&gt;0,SUMPRODUCT(($K$10:K99)*($Z$10:Z99)/V99),0)</f>
        <v>0</v>
      </c>
      <c r="N99" s="91">
        <f t="shared" si="44"/>
        <v>0</v>
      </c>
      <c r="O99" s="97">
        <f t="shared" si="45"/>
        <v>0</v>
      </c>
      <c r="P99" s="98">
        <f t="shared" si="65"/>
        <v>0</v>
      </c>
      <c r="Q99" s="99">
        <f t="shared" si="65"/>
        <v>27.819999999999997</v>
      </c>
      <c r="R99" s="94">
        <f>IF(('tuot-VKO'!$J$5&gt;0),('tuot-VKO'!D100+'tuot-VKO'!E100)/7/$O$5*100,0)</f>
        <v>0</v>
      </c>
      <c r="S99" s="95">
        <f>IF(('tuot-VKO'!$J$5&gt;0),'tuot-VKO'!D100/7/$O$5*100,0)</f>
        <v>0</v>
      </c>
      <c r="T99" s="93"/>
      <c r="U99" s="94">
        <f t="shared" si="49"/>
        <v>0</v>
      </c>
      <c r="V99" s="93">
        <f t="shared" si="50"/>
        <v>0</v>
      </c>
      <c r="W99" s="245">
        <f t="shared" si="63"/>
        <v>0</v>
      </c>
      <c r="X99" s="245">
        <f t="shared" si="61"/>
        <v>0</v>
      </c>
      <c r="Y99" s="243">
        <f t="shared" si="51"/>
        <v>0</v>
      </c>
      <c r="Z99" s="243">
        <f t="shared" si="52"/>
        <v>0</v>
      </c>
      <c r="AA99" s="243">
        <f t="shared" si="53"/>
        <v>0</v>
      </c>
      <c r="AB99" s="243" t="str">
        <f t="shared" si="54"/>
        <v/>
      </c>
      <c r="AC99" s="243" t="str">
        <f t="shared" si="46"/>
        <v/>
      </c>
      <c r="AD99" s="245"/>
      <c r="AE99" s="243">
        <f t="shared" si="56"/>
        <v>100</v>
      </c>
      <c r="AF99" s="245"/>
      <c r="AG99" s="243">
        <f t="shared" si="57"/>
        <v>0</v>
      </c>
      <c r="AH99" s="246"/>
      <c r="AI99" s="246"/>
      <c r="AJ99" s="224"/>
      <c r="AK99" s="224"/>
      <c r="AL99" s="224"/>
      <c r="AM99" s="224"/>
    </row>
    <row r="100" spans="1:39" x14ac:dyDescent="0.25">
      <c r="A100" s="121">
        <v>105</v>
      </c>
      <c r="B100" s="101">
        <f>IF(('tuot-VKO'!$J$5&gt;0),$O$5-SUM('tuot-VKO'!$C$11:'tuot-VKO'!C101), )</f>
        <v>9990</v>
      </c>
      <c r="C100" s="102">
        <f>IF(('tuot-VKO'!$J$5&gt;0),100-(SUM('tuot-VKO'!C$11:C101))/$O$5*100, )</f>
        <v>100</v>
      </c>
      <c r="D100" s="103"/>
      <c r="E100" s="104">
        <f>IF(('tuot-VKO'!$J$5&gt;0),('tuot-VKO'!D101+'tuot-VKO'!E101)/7/B100*100, )</f>
        <v>0</v>
      </c>
      <c r="F100" s="105">
        <f>IF(('tuot-VKO'!$J$5&gt;0),'tuot-VKO'!D101/7/B100*100, )</f>
        <v>0</v>
      </c>
      <c r="G100" s="103"/>
      <c r="H100" s="102">
        <f t="shared" si="47"/>
        <v>0</v>
      </c>
      <c r="I100" s="103">
        <f t="shared" si="48"/>
        <v>0</v>
      </c>
      <c r="J100" s="104">
        <f>IF('tuot-VKO'!F101&gt;0,'tuot-VKO'!F101,J99)</f>
        <v>0</v>
      </c>
      <c r="K100" s="106"/>
      <c r="L100" s="102">
        <f>IF(U100&lt;&gt;0,SUMPRODUCT(($J$10:J100)*($Y$10:Y100)/U100),0)</f>
        <v>0</v>
      </c>
      <c r="M100" s="103">
        <f>IF(V100&lt;&gt;0,SUMPRODUCT(($K$10:K100)*($Z$10:Z100)/V100),0)</f>
        <v>0</v>
      </c>
      <c r="N100" s="101">
        <f t="shared" si="44"/>
        <v>0</v>
      </c>
      <c r="O100" s="107">
        <f t="shared" si="45"/>
        <v>0</v>
      </c>
      <c r="P100" s="108">
        <f t="shared" si="65"/>
        <v>0</v>
      </c>
      <c r="Q100" s="109">
        <f t="shared" si="65"/>
        <v>27.819999999999997</v>
      </c>
      <c r="R100" s="104">
        <f>IF(('tuot-VKO'!$J$5&gt;0),('tuot-VKO'!D101+'tuot-VKO'!E101)/7/$O$5*100,0)</f>
        <v>0</v>
      </c>
      <c r="S100" s="105">
        <f>IF(('tuot-VKO'!$J$5&gt;0),'tuot-VKO'!D101/7/$O$5*100,0)</f>
        <v>0</v>
      </c>
      <c r="T100" s="103"/>
      <c r="U100" s="104">
        <f t="shared" si="49"/>
        <v>0</v>
      </c>
      <c r="V100" s="103">
        <f t="shared" si="50"/>
        <v>0</v>
      </c>
      <c r="W100" s="245">
        <f t="shared" si="63"/>
        <v>0</v>
      </c>
      <c r="X100" s="245">
        <f t="shared" si="61"/>
        <v>0</v>
      </c>
      <c r="Y100" s="243">
        <f t="shared" si="51"/>
        <v>0</v>
      </c>
      <c r="Z100" s="243">
        <f t="shared" si="52"/>
        <v>0</v>
      </c>
      <c r="AA100" s="243">
        <f t="shared" si="53"/>
        <v>0</v>
      </c>
      <c r="AB100" s="243" t="str">
        <f t="shared" si="54"/>
        <v/>
      </c>
      <c r="AC100" s="243" t="str">
        <f t="shared" si="46"/>
        <v/>
      </c>
      <c r="AD100" s="245"/>
      <c r="AE100" s="243">
        <f t="shared" si="56"/>
        <v>100</v>
      </c>
      <c r="AF100" s="245"/>
      <c r="AG100" s="243">
        <f t="shared" si="57"/>
        <v>0</v>
      </c>
      <c r="AH100" s="246"/>
      <c r="AI100" s="246"/>
      <c r="AJ100" s="224"/>
      <c r="AK100" s="224"/>
      <c r="AL100" s="224"/>
      <c r="AM100" s="224"/>
    </row>
    <row r="101" spans="1:39" x14ac:dyDescent="0.25">
      <c r="A101" s="120">
        <v>106</v>
      </c>
      <c r="B101" s="91">
        <f>IF(('tuot-VKO'!$J$5&gt;0),$O$5-SUM('tuot-VKO'!$C$11:'tuot-VKO'!C102), )</f>
        <v>9990</v>
      </c>
      <c r="C101" s="92">
        <f>IF(('tuot-VKO'!$J$5&gt;0),100-(SUM('tuot-VKO'!C$11:C102))/$O$5*100, )</f>
        <v>100</v>
      </c>
      <c r="D101" s="93"/>
      <c r="E101" s="94">
        <f>IF(('tuot-VKO'!$J$5&gt;0),('tuot-VKO'!D102+'tuot-VKO'!E102)/7/B101*100, )</f>
        <v>0</v>
      </c>
      <c r="F101" s="95">
        <f>IF(('tuot-VKO'!$J$5&gt;0),'tuot-VKO'!D102/7/B101*100, )</f>
        <v>0</v>
      </c>
      <c r="G101" s="93"/>
      <c r="H101" s="92">
        <f t="shared" si="47"/>
        <v>0</v>
      </c>
      <c r="I101" s="93">
        <f t="shared" si="48"/>
        <v>0</v>
      </c>
      <c r="J101" s="94">
        <f>IF('tuot-VKO'!F102&gt;0,'tuot-VKO'!F102,J100)</f>
        <v>0</v>
      </c>
      <c r="K101" s="96"/>
      <c r="L101" s="92">
        <f>IF(U101&lt;&gt;0,SUMPRODUCT(($J$10:J101)*($Y$10:Y101)/U101),0)</f>
        <v>0</v>
      </c>
      <c r="M101" s="93">
        <f>IF(V101&lt;&gt;0,SUMPRODUCT(($K$10:K101)*($Z$10:Z101)/V101),0)</f>
        <v>0</v>
      </c>
      <c r="N101" s="91">
        <f t="shared" si="44"/>
        <v>0</v>
      </c>
      <c r="O101" s="97">
        <f t="shared" si="45"/>
        <v>0</v>
      </c>
      <c r="P101" s="98">
        <f t="shared" si="65"/>
        <v>0</v>
      </c>
      <c r="Q101" s="99">
        <f t="shared" si="65"/>
        <v>27.819999999999997</v>
      </c>
      <c r="R101" s="94">
        <f>IF(('tuot-VKO'!$J$5&gt;0),('tuot-VKO'!D102+'tuot-VKO'!E102)/7/$O$5*100,0)</f>
        <v>0</v>
      </c>
      <c r="S101" s="95">
        <f>IF(('tuot-VKO'!$J$5&gt;0),'tuot-VKO'!D102/7/$O$5*100,0)</f>
        <v>0</v>
      </c>
      <c r="T101" s="93"/>
      <c r="U101" s="94">
        <f t="shared" si="49"/>
        <v>0</v>
      </c>
      <c r="V101" s="93">
        <f t="shared" si="50"/>
        <v>0</v>
      </c>
      <c r="W101" s="245">
        <f t="shared" si="63"/>
        <v>0</v>
      </c>
      <c r="X101" s="245">
        <f t="shared" si="61"/>
        <v>0</v>
      </c>
      <c r="Y101" s="243">
        <f t="shared" si="51"/>
        <v>0</v>
      </c>
      <c r="Z101" s="243">
        <f t="shared" si="52"/>
        <v>0</v>
      </c>
      <c r="AA101" s="243">
        <f t="shared" si="53"/>
        <v>0</v>
      </c>
      <c r="AB101" s="243" t="str">
        <f t="shared" si="54"/>
        <v/>
      </c>
      <c r="AC101" s="243" t="str">
        <f t="shared" si="46"/>
        <v/>
      </c>
      <c r="AD101" s="245"/>
      <c r="AE101" s="243">
        <f t="shared" si="56"/>
        <v>100</v>
      </c>
      <c r="AF101" s="245"/>
      <c r="AG101" s="243">
        <f t="shared" si="57"/>
        <v>0</v>
      </c>
      <c r="AH101" s="246"/>
      <c r="AI101" s="246"/>
      <c r="AJ101" s="224"/>
      <c r="AK101" s="224"/>
      <c r="AL101" s="224"/>
      <c r="AM101" s="224"/>
    </row>
    <row r="102" spans="1:39" x14ac:dyDescent="0.25">
      <c r="A102" s="120">
        <v>107</v>
      </c>
      <c r="B102" s="91">
        <f>IF(('tuot-VKO'!$J$5&gt;0),$O$5-SUM('tuot-VKO'!$C$11:'tuot-VKO'!C103), )</f>
        <v>9990</v>
      </c>
      <c r="C102" s="92">
        <f>IF(('tuot-VKO'!$J$5&gt;0),100-(SUM('tuot-VKO'!C$11:C103))/$O$5*100, )</f>
        <v>100</v>
      </c>
      <c r="D102" s="93"/>
      <c r="E102" s="94">
        <f>IF(('tuot-VKO'!$J$5&gt;0),('tuot-VKO'!D103+'tuot-VKO'!E103)/7/B102*100, )</f>
        <v>0</v>
      </c>
      <c r="F102" s="95">
        <f>IF(('tuot-VKO'!$J$5&gt;0),'tuot-VKO'!D103/7/B102*100, )</f>
        <v>0</v>
      </c>
      <c r="G102" s="93"/>
      <c r="H102" s="92">
        <f t="shared" si="47"/>
        <v>0</v>
      </c>
      <c r="I102" s="93">
        <f t="shared" si="48"/>
        <v>0</v>
      </c>
      <c r="J102" s="94">
        <f>IF('tuot-VKO'!F103&gt;0,'tuot-VKO'!F103,J101)</f>
        <v>0</v>
      </c>
      <c r="K102" s="96"/>
      <c r="L102" s="92">
        <f>IF(U102&lt;&gt;0,SUMPRODUCT(($J$10:J102)*($Y$10:Y102)/U102),0)</f>
        <v>0</v>
      </c>
      <c r="M102" s="93">
        <f>IF(V102&lt;&gt;0,SUMPRODUCT(($K$10:K102)*($Z$10:Z102)/V102),0)</f>
        <v>0</v>
      </c>
      <c r="N102" s="91">
        <f t="shared" si="44"/>
        <v>0</v>
      </c>
      <c r="O102" s="97">
        <f t="shared" si="45"/>
        <v>0</v>
      </c>
      <c r="P102" s="98">
        <f t="shared" si="65"/>
        <v>0</v>
      </c>
      <c r="Q102" s="99">
        <f t="shared" si="65"/>
        <v>27.819999999999997</v>
      </c>
      <c r="R102" s="94">
        <f>IF(('tuot-VKO'!$J$5&gt;0),('tuot-VKO'!D103+'tuot-VKO'!E103)/7/$O$5*100,0)</f>
        <v>0</v>
      </c>
      <c r="S102" s="95">
        <f>IF(('tuot-VKO'!$J$5&gt;0),'tuot-VKO'!D103/7/$O$5*100,0)</f>
        <v>0</v>
      </c>
      <c r="T102" s="93"/>
      <c r="U102" s="94">
        <f t="shared" si="49"/>
        <v>0</v>
      </c>
      <c r="V102" s="93">
        <f t="shared" si="50"/>
        <v>0</v>
      </c>
      <c r="W102" s="245">
        <f t="shared" si="63"/>
        <v>0</v>
      </c>
      <c r="X102" s="245">
        <f t="shared" si="61"/>
        <v>0</v>
      </c>
      <c r="Y102" s="243">
        <f t="shared" si="51"/>
        <v>0</v>
      </c>
      <c r="Z102" s="243">
        <f t="shared" si="52"/>
        <v>0</v>
      </c>
      <c r="AA102" s="243">
        <f t="shared" si="53"/>
        <v>0</v>
      </c>
      <c r="AB102" s="243" t="str">
        <f t="shared" si="54"/>
        <v/>
      </c>
      <c r="AC102" s="243" t="str">
        <f t="shared" si="46"/>
        <v/>
      </c>
      <c r="AD102" s="245"/>
      <c r="AE102" s="243">
        <f t="shared" si="56"/>
        <v>100</v>
      </c>
      <c r="AF102" s="245"/>
      <c r="AG102" s="243">
        <f t="shared" si="57"/>
        <v>0</v>
      </c>
      <c r="AH102" s="246"/>
      <c r="AI102" s="246"/>
      <c r="AJ102" s="224"/>
      <c r="AK102" s="224"/>
      <c r="AL102" s="224"/>
      <c r="AM102" s="224"/>
    </row>
    <row r="103" spans="1:39" x14ac:dyDescent="0.25">
      <c r="A103" s="120">
        <v>108</v>
      </c>
      <c r="B103" s="91">
        <f>IF(('tuot-VKO'!$J$5&gt;0),$O$5-SUM('tuot-VKO'!$C$11:'tuot-VKO'!C104), )</f>
        <v>9990</v>
      </c>
      <c r="C103" s="92">
        <f>IF(('tuot-VKO'!$J$5&gt;0),100-(SUM('tuot-VKO'!C$11:C104))/$O$5*100, )</f>
        <v>100</v>
      </c>
      <c r="D103" s="93"/>
      <c r="E103" s="94">
        <f>IF(('tuot-VKO'!$J$5&gt;0),('tuot-VKO'!D104+'tuot-VKO'!E104)/7/B103*100, )</f>
        <v>0</v>
      </c>
      <c r="F103" s="95">
        <f>IF(('tuot-VKO'!$J$5&gt;0),'tuot-VKO'!D104/7/B103*100, )</f>
        <v>0</v>
      </c>
      <c r="G103" s="93"/>
      <c r="H103" s="92">
        <f t="shared" si="47"/>
        <v>0</v>
      </c>
      <c r="I103" s="93">
        <f t="shared" si="48"/>
        <v>0</v>
      </c>
      <c r="J103" s="94">
        <f>IF('tuot-VKO'!F104&gt;0,'tuot-VKO'!F104,J102)</f>
        <v>0</v>
      </c>
      <c r="K103" s="96"/>
      <c r="L103" s="92">
        <f>IF(U103&lt;&gt;0,SUMPRODUCT(($J$10:J103)*($Y$10:Y103)/U103),0)</f>
        <v>0</v>
      </c>
      <c r="M103" s="93">
        <f>IF(V103&lt;&gt;0,SUMPRODUCT(($K$10:K103)*($Z$10:Z103)/V103),0)</f>
        <v>0</v>
      </c>
      <c r="N103" s="91">
        <f t="shared" si="44"/>
        <v>0</v>
      </c>
      <c r="O103" s="97">
        <f t="shared" si="45"/>
        <v>0</v>
      </c>
      <c r="P103" s="98">
        <f t="shared" si="65"/>
        <v>0</v>
      </c>
      <c r="Q103" s="99">
        <f t="shared" si="65"/>
        <v>27.819999999999997</v>
      </c>
      <c r="R103" s="94">
        <f>IF(('tuot-VKO'!$J$5&gt;0),('tuot-VKO'!D104+'tuot-VKO'!E104)/7/$O$5*100,0)</f>
        <v>0</v>
      </c>
      <c r="S103" s="95">
        <f>IF(('tuot-VKO'!$J$5&gt;0),'tuot-VKO'!D104/7/$O$5*100,0)</f>
        <v>0</v>
      </c>
      <c r="T103" s="93"/>
      <c r="U103" s="94">
        <f t="shared" si="49"/>
        <v>0</v>
      </c>
      <c r="V103" s="93">
        <f t="shared" si="50"/>
        <v>0</v>
      </c>
      <c r="W103" s="245">
        <f t="shared" si="63"/>
        <v>0</v>
      </c>
      <c r="X103" s="245">
        <f t="shared" si="61"/>
        <v>0</v>
      </c>
      <c r="Y103" s="243">
        <f t="shared" si="51"/>
        <v>0</v>
      </c>
      <c r="Z103" s="243">
        <f t="shared" si="52"/>
        <v>0</v>
      </c>
      <c r="AA103" s="243">
        <f t="shared" si="53"/>
        <v>0</v>
      </c>
      <c r="AB103" s="243" t="str">
        <f t="shared" si="54"/>
        <v/>
      </c>
      <c r="AC103" s="243" t="str">
        <f t="shared" si="46"/>
        <v/>
      </c>
      <c r="AD103" s="245"/>
      <c r="AE103" s="243">
        <f t="shared" si="56"/>
        <v>100</v>
      </c>
      <c r="AF103" s="245"/>
      <c r="AG103" s="243">
        <f t="shared" si="57"/>
        <v>0</v>
      </c>
      <c r="AH103" s="246"/>
      <c r="AI103" s="246"/>
      <c r="AJ103" s="224"/>
      <c r="AK103" s="224"/>
      <c r="AL103" s="224"/>
      <c r="AM103" s="224"/>
    </row>
    <row r="104" spans="1:39" x14ac:dyDescent="0.25">
      <c r="A104" s="120">
        <v>109</v>
      </c>
      <c r="B104" s="91">
        <f>IF(('tuot-VKO'!$J$5&gt;0),$O$5-SUM('tuot-VKO'!$C$11:'tuot-VKO'!C105), )</f>
        <v>9990</v>
      </c>
      <c r="C104" s="92">
        <f>IF(('tuot-VKO'!$J$5&gt;0),100-(SUM('tuot-VKO'!C$11:C105))/$O$5*100, )</f>
        <v>100</v>
      </c>
      <c r="D104" s="93"/>
      <c r="E104" s="94">
        <f>IF(('tuot-VKO'!$J$5&gt;0),('tuot-VKO'!D105+'tuot-VKO'!E105)/7/B104*100, )</f>
        <v>0</v>
      </c>
      <c r="F104" s="95">
        <f>IF(('tuot-VKO'!$J$5&gt;0),'tuot-VKO'!D105/7/B104*100, )</f>
        <v>0</v>
      </c>
      <c r="G104" s="93"/>
      <c r="H104" s="92">
        <f t="shared" si="47"/>
        <v>0</v>
      </c>
      <c r="I104" s="93">
        <f t="shared" si="48"/>
        <v>0</v>
      </c>
      <c r="J104" s="94">
        <f>IF('tuot-VKO'!F105&gt;0,'tuot-VKO'!F105,J103)</f>
        <v>0</v>
      </c>
      <c r="K104" s="96"/>
      <c r="L104" s="92">
        <f>IF(U104&lt;&gt;0,SUMPRODUCT(($J$10:J104)*($Y$10:Y104)/U104),0)</f>
        <v>0</v>
      </c>
      <c r="M104" s="93">
        <f>IF(V104&lt;&gt;0,SUMPRODUCT(($K$10:K104)*($Z$10:Z104)/V104),0)</f>
        <v>0</v>
      </c>
      <c r="N104" s="91">
        <f t="shared" si="44"/>
        <v>0</v>
      </c>
      <c r="O104" s="97">
        <f t="shared" si="45"/>
        <v>0</v>
      </c>
      <c r="P104" s="98">
        <f t="shared" si="65"/>
        <v>0</v>
      </c>
      <c r="Q104" s="99">
        <f t="shared" si="65"/>
        <v>27.819999999999997</v>
      </c>
      <c r="R104" s="94">
        <f>IF(('tuot-VKO'!$J$5&gt;0),('tuot-VKO'!D105+'tuot-VKO'!E105)/7/$O$5*100,0)</f>
        <v>0</v>
      </c>
      <c r="S104" s="95">
        <f>IF(('tuot-VKO'!$J$5&gt;0),'tuot-VKO'!D105/7/$O$5*100,0)</f>
        <v>0</v>
      </c>
      <c r="T104" s="93"/>
      <c r="U104" s="94">
        <f t="shared" si="49"/>
        <v>0</v>
      </c>
      <c r="V104" s="93">
        <f t="shared" si="50"/>
        <v>0</v>
      </c>
      <c r="W104" s="245">
        <f t="shared" si="63"/>
        <v>0</v>
      </c>
      <c r="X104" s="245">
        <f t="shared" si="61"/>
        <v>0</v>
      </c>
      <c r="Y104" s="243">
        <f t="shared" si="51"/>
        <v>0</v>
      </c>
      <c r="Z104" s="243">
        <f t="shared" si="52"/>
        <v>0</v>
      </c>
      <c r="AA104" s="243">
        <f t="shared" si="53"/>
        <v>0</v>
      </c>
      <c r="AB104" s="243" t="str">
        <f t="shared" si="54"/>
        <v/>
      </c>
      <c r="AC104" s="243" t="str">
        <f t="shared" si="46"/>
        <v/>
      </c>
      <c r="AD104" s="245"/>
      <c r="AE104" s="243">
        <f t="shared" si="56"/>
        <v>100</v>
      </c>
      <c r="AF104" s="245"/>
      <c r="AG104" s="243">
        <f t="shared" si="57"/>
        <v>0</v>
      </c>
      <c r="AH104" s="246"/>
      <c r="AI104" s="246"/>
      <c r="AJ104" s="224"/>
      <c r="AK104" s="224"/>
      <c r="AL104" s="224"/>
      <c r="AM104" s="224"/>
    </row>
    <row r="105" spans="1:39" x14ac:dyDescent="0.25">
      <c r="A105" s="121">
        <v>110</v>
      </c>
      <c r="B105" s="101">
        <f>IF(('tuot-VKO'!$J$5&gt;0),$O$5-SUM('tuot-VKO'!$C$11:'tuot-VKO'!C106), )</f>
        <v>9990</v>
      </c>
      <c r="C105" s="102">
        <f>IF(('tuot-VKO'!$J$5&gt;0),100-(SUM('tuot-VKO'!C$11:C106))/$O$5*100, )</f>
        <v>100</v>
      </c>
      <c r="D105" s="103"/>
      <c r="E105" s="104">
        <f>IF(('tuot-VKO'!$J$5&gt;0),('tuot-VKO'!D106+'tuot-VKO'!E106)/7/B105*100, )</f>
        <v>0</v>
      </c>
      <c r="F105" s="105">
        <f>IF(('tuot-VKO'!$J$5&gt;0),'tuot-VKO'!D106/7/B105*100, )</f>
        <v>0</v>
      </c>
      <c r="G105" s="103"/>
      <c r="H105" s="102">
        <f t="shared" si="47"/>
        <v>0</v>
      </c>
      <c r="I105" s="103">
        <f t="shared" si="48"/>
        <v>0</v>
      </c>
      <c r="J105" s="104">
        <f>IF('tuot-VKO'!F106&gt;0,'tuot-VKO'!F106,J104)</f>
        <v>0</v>
      </c>
      <c r="K105" s="106"/>
      <c r="L105" s="102">
        <f>IF(U105&lt;&gt;0,SUMPRODUCT(($J$10:J105)*($Y$10:Y105)/U105),0)</f>
        <v>0</v>
      </c>
      <c r="M105" s="103">
        <f>IF(V105&lt;&gt;0,SUMPRODUCT(($K$10:K105)*($Z$10:Z105)/V105),0)</f>
        <v>0</v>
      </c>
      <c r="N105" s="101">
        <f t="shared" si="44"/>
        <v>0</v>
      </c>
      <c r="O105" s="107">
        <f t="shared" si="45"/>
        <v>0</v>
      </c>
      <c r="P105" s="108">
        <f t="shared" si="65"/>
        <v>0</v>
      </c>
      <c r="Q105" s="109">
        <f t="shared" si="65"/>
        <v>27.819999999999997</v>
      </c>
      <c r="R105" s="104">
        <f>IF(('tuot-VKO'!$J$5&gt;0),('tuot-VKO'!D106+'tuot-VKO'!E106)/7/$O$5*100,0)</f>
        <v>0</v>
      </c>
      <c r="S105" s="105">
        <f>IF(('tuot-VKO'!$J$5&gt;0),'tuot-VKO'!D106/7/$O$5*100,0)</f>
        <v>0</v>
      </c>
      <c r="T105" s="103"/>
      <c r="U105" s="104">
        <f t="shared" si="49"/>
        <v>0</v>
      </c>
      <c r="V105" s="103">
        <f t="shared" si="50"/>
        <v>0</v>
      </c>
      <c r="W105" s="245">
        <f t="shared" si="63"/>
        <v>0</v>
      </c>
      <c r="X105" s="245">
        <f t="shared" si="61"/>
        <v>0</v>
      </c>
      <c r="Y105" s="243">
        <f t="shared" si="51"/>
        <v>0</v>
      </c>
      <c r="Z105" s="243">
        <f t="shared" si="52"/>
        <v>0</v>
      </c>
      <c r="AA105" s="243">
        <f t="shared" si="53"/>
        <v>0</v>
      </c>
      <c r="AB105" s="243" t="str">
        <f t="shared" si="54"/>
        <v/>
      </c>
      <c r="AC105" s="243" t="str">
        <f t="shared" si="46"/>
        <v/>
      </c>
      <c r="AD105" s="245"/>
      <c r="AE105" s="243">
        <f t="shared" si="56"/>
        <v>100</v>
      </c>
      <c r="AF105" s="245"/>
      <c r="AG105" s="243">
        <f t="shared" si="57"/>
        <v>0</v>
      </c>
      <c r="AH105" s="246"/>
      <c r="AI105" s="246"/>
      <c r="AJ105" s="224"/>
      <c r="AK105" s="224"/>
      <c r="AL105" s="224"/>
      <c r="AM105" s="224"/>
    </row>
    <row r="106" spans="1:39" x14ac:dyDescent="0.25">
      <c r="A106" s="120">
        <v>111</v>
      </c>
      <c r="B106" s="91">
        <f>IF(('tuot-VKO'!$J$5&gt;0),$O$5-SUM('tuot-VKO'!$C$11:'tuot-VKO'!C107), )</f>
        <v>9990</v>
      </c>
      <c r="C106" s="92">
        <f>IF(('tuot-VKO'!$J$5&gt;0),100-(SUM('tuot-VKO'!C$11:C107))/$O$5*100, )</f>
        <v>100</v>
      </c>
      <c r="D106" s="93"/>
      <c r="E106" s="94">
        <f>IF(('tuot-VKO'!$J$5&gt;0),('tuot-VKO'!D107+'tuot-VKO'!E107)/7/B106*100, )</f>
        <v>0</v>
      </c>
      <c r="F106" s="95">
        <f>IF(('tuot-VKO'!$J$5&gt;0),'tuot-VKO'!D107/7/B106*100, )</f>
        <v>0</v>
      </c>
      <c r="G106" s="93"/>
      <c r="H106" s="92">
        <f t="shared" si="47"/>
        <v>0</v>
      </c>
      <c r="I106" s="93">
        <f t="shared" si="48"/>
        <v>0</v>
      </c>
      <c r="J106" s="94">
        <f>IF('tuot-VKO'!F107&gt;0,'tuot-VKO'!F107,J105)</f>
        <v>0</v>
      </c>
      <c r="K106" s="96"/>
      <c r="L106" s="92">
        <f>IF(U106&lt;&gt;0,SUMPRODUCT(($J$10:J106)*($Y$10:Y106)/U106),0)</f>
        <v>0</v>
      </c>
      <c r="M106" s="93">
        <f>IF(V106&lt;&gt;0,SUMPRODUCT(($K$10:K106)*($Z$10:Z106)/V106),0)</f>
        <v>0</v>
      </c>
      <c r="N106" s="91">
        <f t="shared" ref="N106:N115" si="66">J106*Y106</f>
        <v>0</v>
      </c>
      <c r="O106" s="97">
        <f t="shared" ref="O106:O115" si="67">ROUND(K106*Z106/10,0)*10</f>
        <v>0</v>
      </c>
      <c r="P106" s="98">
        <f t="shared" si="65"/>
        <v>0</v>
      </c>
      <c r="Q106" s="99">
        <f t="shared" si="65"/>
        <v>27.819999999999997</v>
      </c>
      <c r="R106" s="94">
        <f>IF(('tuot-VKO'!$J$5&gt;0),('tuot-VKO'!D107+'tuot-VKO'!E107)/7/$O$5*100,0)</f>
        <v>0</v>
      </c>
      <c r="S106" s="95">
        <f>IF(('tuot-VKO'!$J$5&gt;0),'tuot-VKO'!D107/7/$O$5*100,0)</f>
        <v>0</v>
      </c>
      <c r="T106" s="93"/>
      <c r="U106" s="94">
        <f t="shared" si="49"/>
        <v>0</v>
      </c>
      <c r="V106" s="93">
        <f t="shared" si="50"/>
        <v>0</v>
      </c>
      <c r="W106" s="245">
        <f t="shared" si="63"/>
        <v>0</v>
      </c>
      <c r="X106" s="245">
        <f t="shared" si="61"/>
        <v>0</v>
      </c>
      <c r="Y106" s="243">
        <f t="shared" si="51"/>
        <v>0</v>
      </c>
      <c r="Z106" s="243">
        <f t="shared" si="52"/>
        <v>0</v>
      </c>
      <c r="AA106" s="243">
        <f t="shared" si="53"/>
        <v>0</v>
      </c>
      <c r="AB106" s="243" t="str">
        <f t="shared" si="54"/>
        <v/>
      </c>
      <c r="AC106" s="243" t="str">
        <f t="shared" ref="AC106:AC115" si="68">IF(F106&gt;0,(IF(G106&gt;=90,G106,"" )),"")</f>
        <v/>
      </c>
      <c r="AD106" s="245"/>
      <c r="AE106" s="243">
        <f t="shared" si="56"/>
        <v>100</v>
      </c>
      <c r="AF106" s="245"/>
      <c r="AG106" s="243">
        <f t="shared" si="57"/>
        <v>0</v>
      </c>
      <c r="AH106" s="246"/>
      <c r="AI106" s="246"/>
      <c r="AJ106" s="224"/>
      <c r="AK106" s="224"/>
      <c r="AL106" s="224"/>
      <c r="AM106" s="224"/>
    </row>
    <row r="107" spans="1:39" x14ac:dyDescent="0.25">
      <c r="A107" s="120">
        <v>112</v>
      </c>
      <c r="B107" s="91">
        <f>IF(('tuot-VKO'!$J$5&gt;0),$O$5-SUM('tuot-VKO'!$C$11:'tuot-VKO'!C108), )</f>
        <v>9990</v>
      </c>
      <c r="C107" s="92">
        <f>IF(('tuot-VKO'!$J$5&gt;0),100-(SUM('tuot-VKO'!C$11:C108))/$O$5*100, )</f>
        <v>100</v>
      </c>
      <c r="D107" s="93"/>
      <c r="E107" s="94">
        <f>IF(('tuot-VKO'!$J$5&gt;0),('tuot-VKO'!D108+'tuot-VKO'!E108)/7/B107*100, )</f>
        <v>0</v>
      </c>
      <c r="F107" s="95">
        <f>IF(('tuot-VKO'!$J$5&gt;0),'tuot-VKO'!D108/7/B107*100, )</f>
        <v>0</v>
      </c>
      <c r="G107" s="93"/>
      <c r="H107" s="92">
        <f t="shared" ref="H107:H115" si="69">7*E107/100+H106</f>
        <v>0</v>
      </c>
      <c r="I107" s="93">
        <f t="shared" ref="I107:I115" si="70">IF(ISNUMBER(G107),7*G107/100+I106, )</f>
        <v>0</v>
      </c>
      <c r="J107" s="94">
        <f>IF('tuot-VKO'!F108&gt;0,'tuot-VKO'!F108,J106)</f>
        <v>0</v>
      </c>
      <c r="K107" s="96"/>
      <c r="L107" s="92">
        <f>IF(U107&lt;&gt;0,SUMPRODUCT(($J$10:J107)*($Y$10:Y107)/U107),0)</f>
        <v>0</v>
      </c>
      <c r="M107" s="93">
        <f>IF(V107&lt;&gt;0,SUMPRODUCT(($K$10:K107)*($Z$10:Z107)/V107),0)</f>
        <v>0</v>
      </c>
      <c r="N107" s="91">
        <f t="shared" si="66"/>
        <v>0</v>
      </c>
      <c r="O107" s="97">
        <f t="shared" si="67"/>
        <v>0</v>
      </c>
      <c r="P107" s="98">
        <f t="shared" si="65"/>
        <v>0</v>
      </c>
      <c r="Q107" s="99">
        <f t="shared" si="65"/>
        <v>27.819999999999997</v>
      </c>
      <c r="R107" s="94">
        <f>IF(('tuot-VKO'!$J$5&gt;0),('tuot-VKO'!D108+'tuot-VKO'!E108)/7/$O$5*100,0)</f>
        <v>0</v>
      </c>
      <c r="S107" s="95">
        <f>IF(('tuot-VKO'!$J$5&gt;0),'tuot-VKO'!D108/7/$O$5*100,0)</f>
        <v>0</v>
      </c>
      <c r="T107" s="93"/>
      <c r="U107" s="94">
        <f t="shared" ref="U107:U115" si="71">7*R107/100+U106</f>
        <v>0</v>
      </c>
      <c r="V107" s="93">
        <f t="shared" ref="V107:V115" si="72">IF(ISNUMBER(T107),7*T107/100+V106, )</f>
        <v>0</v>
      </c>
      <c r="W107" s="245">
        <f t="shared" si="63"/>
        <v>0</v>
      </c>
      <c r="X107" s="245">
        <f t="shared" si="61"/>
        <v>0</v>
      </c>
      <c r="Y107" s="243">
        <f t="shared" ref="Y107:Y115" si="73">U107-U106</f>
        <v>0</v>
      </c>
      <c r="Z107" s="243">
        <f t="shared" ref="Z107:Z115" si="74">V107-V106</f>
        <v>0</v>
      </c>
      <c r="AA107" s="243">
        <f t="shared" ref="AA107:AA115" si="75">IF(N107&gt;0,N107/7,AA106)</f>
        <v>0</v>
      </c>
      <c r="AB107" s="243" t="str">
        <f t="shared" si="54"/>
        <v/>
      </c>
      <c r="AC107" s="243" t="str">
        <f t="shared" si="68"/>
        <v/>
      </c>
      <c r="AD107" s="245"/>
      <c r="AE107" s="243">
        <f t="shared" si="56"/>
        <v>100</v>
      </c>
      <c r="AF107" s="245"/>
      <c r="AG107" s="243">
        <f t="shared" si="57"/>
        <v>0</v>
      </c>
      <c r="AH107" s="246"/>
      <c r="AI107" s="246"/>
      <c r="AJ107" s="224"/>
      <c r="AK107" s="224"/>
      <c r="AL107" s="224"/>
      <c r="AM107" s="224"/>
    </row>
    <row r="108" spans="1:39" x14ac:dyDescent="0.25">
      <c r="A108" s="120">
        <v>113</v>
      </c>
      <c r="B108" s="91">
        <f>IF(('tuot-VKO'!$J$5&gt;0),$O$5-SUM('tuot-VKO'!$C$11:'tuot-VKO'!C109), )</f>
        <v>9990</v>
      </c>
      <c r="C108" s="92">
        <f>IF(('tuot-VKO'!$J$5&gt;0),100-(SUM('tuot-VKO'!C$11:C109))/$O$5*100, )</f>
        <v>100</v>
      </c>
      <c r="D108" s="93"/>
      <c r="E108" s="94">
        <f>IF(('tuot-VKO'!$J$5&gt;0),('tuot-VKO'!D109+'tuot-VKO'!E109)/7/B108*100, )</f>
        <v>0</v>
      </c>
      <c r="F108" s="95">
        <f>IF(('tuot-VKO'!$J$5&gt;0),'tuot-VKO'!D109/7/B108*100, )</f>
        <v>0</v>
      </c>
      <c r="G108" s="93"/>
      <c r="H108" s="92">
        <f t="shared" si="69"/>
        <v>0</v>
      </c>
      <c r="I108" s="93">
        <f t="shared" si="70"/>
        <v>0</v>
      </c>
      <c r="J108" s="94">
        <f>IF('tuot-VKO'!F109&gt;0,'tuot-VKO'!F109,J107)</f>
        <v>0</v>
      </c>
      <c r="K108" s="96"/>
      <c r="L108" s="92">
        <f>IF(U108&lt;&gt;0,SUMPRODUCT(($J$10:J108)*($Y$10:Y108)/U108),0)</f>
        <v>0</v>
      </c>
      <c r="M108" s="93">
        <f>IF(V108&lt;&gt;0,SUMPRODUCT(($K$10:K108)*($Z$10:Z108)/V108),0)</f>
        <v>0</v>
      </c>
      <c r="N108" s="91">
        <f t="shared" si="66"/>
        <v>0</v>
      </c>
      <c r="O108" s="97">
        <f t="shared" si="67"/>
        <v>0</v>
      </c>
      <c r="P108" s="98">
        <f t="shared" ref="P108:Q115" si="76">P107+N108/1000</f>
        <v>0</v>
      </c>
      <c r="Q108" s="99">
        <f t="shared" si="76"/>
        <v>27.819999999999997</v>
      </c>
      <c r="R108" s="94">
        <f>IF(('tuot-VKO'!$J$5&gt;0),('tuot-VKO'!D109+'tuot-VKO'!E109)/7/$O$5*100,0)</f>
        <v>0</v>
      </c>
      <c r="S108" s="95">
        <f>IF(('tuot-VKO'!$J$5&gt;0),'tuot-VKO'!D109/7/$O$5*100,0)</f>
        <v>0</v>
      </c>
      <c r="T108" s="93"/>
      <c r="U108" s="94">
        <f t="shared" si="71"/>
        <v>0</v>
      </c>
      <c r="V108" s="93">
        <f t="shared" si="72"/>
        <v>0</v>
      </c>
      <c r="W108" s="245">
        <f t="shared" si="63"/>
        <v>0</v>
      </c>
      <c r="X108" s="245">
        <f t="shared" si="61"/>
        <v>0</v>
      </c>
      <c r="Y108" s="243">
        <f t="shared" si="73"/>
        <v>0</v>
      </c>
      <c r="Z108" s="243">
        <f t="shared" si="74"/>
        <v>0</v>
      </c>
      <c r="AA108" s="243">
        <f t="shared" si="75"/>
        <v>0</v>
      </c>
      <c r="AB108" s="243" t="str">
        <f t="shared" si="54"/>
        <v/>
      </c>
      <c r="AC108" s="243" t="str">
        <f t="shared" si="68"/>
        <v/>
      </c>
      <c r="AD108" s="245"/>
      <c r="AE108" s="243">
        <f t="shared" si="56"/>
        <v>100</v>
      </c>
      <c r="AF108" s="245"/>
      <c r="AG108" s="243">
        <f t="shared" ref="AG108:AG115" si="77">IF(N108&gt;0,Q108,AG107)</f>
        <v>0</v>
      </c>
      <c r="AH108" s="246"/>
      <c r="AI108" s="246"/>
      <c r="AJ108" s="224"/>
      <c r="AK108" s="224"/>
      <c r="AL108" s="224"/>
      <c r="AM108" s="224"/>
    </row>
    <row r="109" spans="1:39" x14ac:dyDescent="0.25">
      <c r="A109" s="120">
        <v>114</v>
      </c>
      <c r="B109" s="91">
        <f>IF(('tuot-VKO'!$J$5&gt;0),$O$5-SUM('tuot-VKO'!$C$11:'tuot-VKO'!C110), )</f>
        <v>9990</v>
      </c>
      <c r="C109" s="92">
        <f>IF(('tuot-VKO'!$J$5&gt;0),100-(SUM('tuot-VKO'!C$11:C110))/$O$5*100, )</f>
        <v>100</v>
      </c>
      <c r="D109" s="93"/>
      <c r="E109" s="94">
        <f>IF(('tuot-VKO'!$J$5&gt;0),('tuot-VKO'!D110+'tuot-VKO'!E110)/7/B109*100, )</f>
        <v>0</v>
      </c>
      <c r="F109" s="95">
        <f>IF(('tuot-VKO'!$J$5&gt;0),'tuot-VKO'!D110/7/B109*100, )</f>
        <v>0</v>
      </c>
      <c r="G109" s="93"/>
      <c r="H109" s="92">
        <f t="shared" si="69"/>
        <v>0</v>
      </c>
      <c r="I109" s="93">
        <f t="shared" si="70"/>
        <v>0</v>
      </c>
      <c r="J109" s="94">
        <f>IF('tuot-VKO'!F110&gt;0,'tuot-VKO'!F110,J108)</f>
        <v>0</v>
      </c>
      <c r="K109" s="96"/>
      <c r="L109" s="92">
        <f>IF(U109&lt;&gt;0,SUMPRODUCT(($J$10:J109)*($Y$10:Y109)/U109),0)</f>
        <v>0</v>
      </c>
      <c r="M109" s="93">
        <f>IF(V109&lt;&gt;0,SUMPRODUCT(($K$10:K109)*($Z$10:Z109)/V109),0)</f>
        <v>0</v>
      </c>
      <c r="N109" s="91">
        <f t="shared" si="66"/>
        <v>0</v>
      </c>
      <c r="O109" s="97">
        <f t="shared" si="67"/>
        <v>0</v>
      </c>
      <c r="P109" s="98">
        <f t="shared" si="76"/>
        <v>0</v>
      </c>
      <c r="Q109" s="99">
        <f t="shared" si="76"/>
        <v>27.819999999999997</v>
      </c>
      <c r="R109" s="94">
        <f>IF(('tuot-VKO'!$J$5&gt;0),('tuot-VKO'!D110+'tuot-VKO'!E110)/7/$O$5*100,0)</f>
        <v>0</v>
      </c>
      <c r="S109" s="95">
        <f>IF(('tuot-VKO'!$J$5&gt;0),'tuot-VKO'!D110/7/$O$5*100,0)</f>
        <v>0</v>
      </c>
      <c r="T109" s="93"/>
      <c r="U109" s="94">
        <f t="shared" si="71"/>
        <v>0</v>
      </c>
      <c r="V109" s="93">
        <f t="shared" si="72"/>
        <v>0</v>
      </c>
      <c r="W109" s="245">
        <f t="shared" si="63"/>
        <v>0</v>
      </c>
      <c r="X109" s="245">
        <f t="shared" si="61"/>
        <v>0</v>
      </c>
      <c r="Y109" s="243">
        <f t="shared" si="73"/>
        <v>0</v>
      </c>
      <c r="Z109" s="243">
        <f t="shared" si="74"/>
        <v>0</v>
      </c>
      <c r="AA109" s="243">
        <f t="shared" si="75"/>
        <v>0</v>
      </c>
      <c r="AB109" s="243" t="str">
        <f t="shared" si="54"/>
        <v/>
      </c>
      <c r="AC109" s="243" t="str">
        <f t="shared" si="68"/>
        <v/>
      </c>
      <c r="AD109" s="245"/>
      <c r="AE109" s="243">
        <f t="shared" si="56"/>
        <v>100</v>
      </c>
      <c r="AF109" s="245"/>
      <c r="AG109" s="243">
        <f t="shared" si="77"/>
        <v>0</v>
      </c>
      <c r="AH109" s="246"/>
      <c r="AI109" s="246"/>
      <c r="AJ109" s="224"/>
      <c r="AK109" s="224"/>
      <c r="AL109" s="224"/>
      <c r="AM109" s="224"/>
    </row>
    <row r="110" spans="1:39" x14ac:dyDescent="0.25">
      <c r="A110" s="121">
        <v>115</v>
      </c>
      <c r="B110" s="101">
        <f>IF(('tuot-VKO'!$J$5&gt;0),$O$5-SUM('tuot-VKO'!$C$11:'tuot-VKO'!C111), )</f>
        <v>9990</v>
      </c>
      <c r="C110" s="102">
        <f>IF(('tuot-VKO'!$J$5&gt;0),100-(SUM('tuot-VKO'!C$11:C111))/$O$5*100, )</f>
        <v>100</v>
      </c>
      <c r="D110" s="103"/>
      <c r="E110" s="104">
        <f>IF(('tuot-VKO'!$J$5&gt;0),('tuot-VKO'!D111+'tuot-VKO'!E111)/7/B110*100, )</f>
        <v>0</v>
      </c>
      <c r="F110" s="105">
        <f>IF(('tuot-VKO'!$J$5&gt;0),'tuot-VKO'!D111/7/B110*100, )</f>
        <v>0</v>
      </c>
      <c r="G110" s="103"/>
      <c r="H110" s="102">
        <f t="shared" si="69"/>
        <v>0</v>
      </c>
      <c r="I110" s="103">
        <f t="shared" si="70"/>
        <v>0</v>
      </c>
      <c r="J110" s="104">
        <f>IF('tuot-VKO'!F111&gt;0,'tuot-VKO'!F111,J109)</f>
        <v>0</v>
      </c>
      <c r="K110" s="106"/>
      <c r="L110" s="102">
        <f>IF(U110&lt;&gt;0,SUMPRODUCT(($J$10:J110)*($Y$10:Y110)/U110),0)</f>
        <v>0</v>
      </c>
      <c r="M110" s="103">
        <f>IF(V110&lt;&gt;0,SUMPRODUCT(($K$10:K110)*($Z$10:Z110)/V110),0)</f>
        <v>0</v>
      </c>
      <c r="N110" s="101">
        <f t="shared" si="66"/>
        <v>0</v>
      </c>
      <c r="O110" s="107">
        <f t="shared" si="67"/>
        <v>0</v>
      </c>
      <c r="P110" s="108">
        <f t="shared" si="76"/>
        <v>0</v>
      </c>
      <c r="Q110" s="109">
        <f t="shared" si="76"/>
        <v>27.819999999999997</v>
      </c>
      <c r="R110" s="104">
        <f>IF(('tuot-VKO'!$J$5&gt;0),('tuot-VKO'!D111+'tuot-VKO'!E111)/7/$O$5*100,0)</f>
        <v>0</v>
      </c>
      <c r="S110" s="105">
        <f>IF(('tuot-VKO'!$J$5&gt;0),'tuot-VKO'!D111/7/$O$5*100,0)</f>
        <v>0</v>
      </c>
      <c r="T110" s="103" t="str">
        <f t="shared" ref="T110:T115" si="78">IF(ISNUMBER(G110),G110*D110/100,"")</f>
        <v/>
      </c>
      <c r="U110" s="104">
        <f t="shared" si="71"/>
        <v>0</v>
      </c>
      <c r="V110" s="103">
        <f t="shared" si="72"/>
        <v>0</v>
      </c>
      <c r="W110" s="245">
        <f t="shared" si="63"/>
        <v>0</v>
      </c>
      <c r="X110" s="245">
        <f t="shared" ref="X110:X115" si="79">G110+G110*0.03-W110</f>
        <v>0</v>
      </c>
      <c r="Y110" s="243">
        <f t="shared" si="73"/>
        <v>0</v>
      </c>
      <c r="Z110" s="243">
        <f t="shared" si="74"/>
        <v>0</v>
      </c>
      <c r="AA110" s="243">
        <f t="shared" si="75"/>
        <v>0</v>
      </c>
      <c r="AB110" s="243" t="str">
        <f t="shared" si="54"/>
        <v/>
      </c>
      <c r="AC110" s="243" t="str">
        <f t="shared" si="68"/>
        <v/>
      </c>
      <c r="AD110" s="245"/>
      <c r="AE110" s="243">
        <f t="shared" si="56"/>
        <v>100</v>
      </c>
      <c r="AF110" s="245"/>
      <c r="AG110" s="243">
        <f t="shared" si="77"/>
        <v>0</v>
      </c>
      <c r="AH110" s="246"/>
      <c r="AI110" s="246"/>
      <c r="AJ110" s="224"/>
      <c r="AK110" s="224"/>
      <c r="AL110" s="224"/>
      <c r="AM110" s="224"/>
    </row>
    <row r="111" spans="1:39" x14ac:dyDescent="0.25">
      <c r="A111" s="120">
        <v>116</v>
      </c>
      <c r="B111" s="91">
        <f>IF(('tuot-VKO'!$J$5&gt;0),$O$5-SUM('tuot-VKO'!$C$11:'tuot-VKO'!C112), )</f>
        <v>9990</v>
      </c>
      <c r="C111" s="92">
        <f>IF(('tuot-VKO'!$J$5&gt;0),100-(SUM('tuot-VKO'!C$11:C112))/$O$5*100, )</f>
        <v>100</v>
      </c>
      <c r="D111" s="93"/>
      <c r="E111" s="94">
        <f>IF(('tuot-VKO'!$J$5&gt;0),('tuot-VKO'!D112+'tuot-VKO'!E112)/7/B111*100, )</f>
        <v>0</v>
      </c>
      <c r="F111" s="95">
        <f>IF(('tuot-VKO'!$J$5&gt;0),'tuot-VKO'!D112/7/B111*100, )</f>
        <v>0</v>
      </c>
      <c r="G111" s="93"/>
      <c r="H111" s="92">
        <f t="shared" si="69"/>
        <v>0</v>
      </c>
      <c r="I111" s="93">
        <f t="shared" si="70"/>
        <v>0</v>
      </c>
      <c r="J111" s="94">
        <f>IF('tuot-VKO'!F112&gt;0,'tuot-VKO'!F112,J110)</f>
        <v>0</v>
      </c>
      <c r="K111" s="96"/>
      <c r="L111" s="92">
        <f>IF(U111&lt;&gt;0,SUMPRODUCT(($J$10:J111)*($Y$10:Y111)/U111),0)</f>
        <v>0</v>
      </c>
      <c r="M111" s="93">
        <f>IF(V111&lt;&gt;0,SUMPRODUCT(($K$10:K111)*($Z$10:Z111)/V111),0)</f>
        <v>0</v>
      </c>
      <c r="N111" s="91">
        <f t="shared" si="66"/>
        <v>0</v>
      </c>
      <c r="O111" s="97">
        <f t="shared" si="67"/>
        <v>0</v>
      </c>
      <c r="P111" s="98">
        <f t="shared" si="76"/>
        <v>0</v>
      </c>
      <c r="Q111" s="99">
        <f t="shared" si="76"/>
        <v>27.819999999999997</v>
      </c>
      <c r="R111" s="94">
        <f>IF(('tuot-VKO'!$J$5&gt;0),('tuot-VKO'!D112+'tuot-VKO'!E112)/7/$O$5*100,0)</f>
        <v>0</v>
      </c>
      <c r="S111" s="95">
        <f>IF(('tuot-VKO'!$J$5&gt;0),'tuot-VKO'!D112/7/$O$5*100,0)</f>
        <v>0</v>
      </c>
      <c r="T111" s="93" t="str">
        <f t="shared" si="78"/>
        <v/>
      </c>
      <c r="U111" s="94">
        <f t="shared" si="71"/>
        <v>0</v>
      </c>
      <c r="V111" s="93">
        <f t="shared" si="72"/>
        <v>0</v>
      </c>
      <c r="W111" s="245">
        <f t="shared" si="63"/>
        <v>0</v>
      </c>
      <c r="X111" s="245">
        <f t="shared" si="79"/>
        <v>0</v>
      </c>
      <c r="Y111" s="243">
        <f t="shared" si="73"/>
        <v>0</v>
      </c>
      <c r="Z111" s="243">
        <f t="shared" si="74"/>
        <v>0</v>
      </c>
      <c r="AA111" s="243">
        <f t="shared" si="75"/>
        <v>0</v>
      </c>
      <c r="AB111" s="243" t="str">
        <f t="shared" si="54"/>
        <v/>
      </c>
      <c r="AC111" s="243" t="str">
        <f t="shared" si="68"/>
        <v/>
      </c>
      <c r="AD111" s="245"/>
      <c r="AE111" s="243">
        <f t="shared" si="56"/>
        <v>100</v>
      </c>
      <c r="AF111" s="245"/>
      <c r="AG111" s="243">
        <f t="shared" si="77"/>
        <v>0</v>
      </c>
      <c r="AH111" s="246"/>
      <c r="AI111" s="246"/>
      <c r="AJ111" s="224"/>
      <c r="AK111" s="224"/>
      <c r="AL111" s="224"/>
      <c r="AM111" s="224"/>
    </row>
    <row r="112" spans="1:39" x14ac:dyDescent="0.25">
      <c r="A112" s="120">
        <v>117</v>
      </c>
      <c r="B112" s="91">
        <f>IF(('tuot-VKO'!$J$5&gt;0),$O$5-SUM('tuot-VKO'!$C$11:'tuot-VKO'!C113), )</f>
        <v>9990</v>
      </c>
      <c r="C112" s="92">
        <f>IF(('tuot-VKO'!$J$5&gt;0),100-(SUM('tuot-VKO'!C$11:C113))/$O$5*100, )</f>
        <v>100</v>
      </c>
      <c r="D112" s="93"/>
      <c r="E112" s="94">
        <f>IF(('tuot-VKO'!$J$5&gt;0),('tuot-VKO'!D113+'tuot-VKO'!E113)/7/B112*100, )</f>
        <v>0</v>
      </c>
      <c r="F112" s="95">
        <f>IF(('tuot-VKO'!$J$5&gt;0),'tuot-VKO'!D113/7/B112*100, )</f>
        <v>0</v>
      </c>
      <c r="G112" s="93"/>
      <c r="H112" s="92">
        <f t="shared" si="69"/>
        <v>0</v>
      </c>
      <c r="I112" s="93">
        <f t="shared" si="70"/>
        <v>0</v>
      </c>
      <c r="J112" s="94">
        <f>IF('tuot-VKO'!F113&gt;0,'tuot-VKO'!F113,J111)</f>
        <v>0</v>
      </c>
      <c r="K112" s="96"/>
      <c r="L112" s="92">
        <f>IF(U112&lt;&gt;0,SUMPRODUCT(($J$10:J112)*($Y$10:Y112)/U112),0)</f>
        <v>0</v>
      </c>
      <c r="M112" s="93">
        <f>IF(V112&lt;&gt;0,SUMPRODUCT(($K$10:K112)*($Z$10:Z112)/V112),0)</f>
        <v>0</v>
      </c>
      <c r="N112" s="91">
        <f t="shared" si="66"/>
        <v>0</v>
      </c>
      <c r="O112" s="97">
        <f t="shared" si="67"/>
        <v>0</v>
      </c>
      <c r="P112" s="98">
        <f t="shared" si="76"/>
        <v>0</v>
      </c>
      <c r="Q112" s="99">
        <f t="shared" si="76"/>
        <v>27.819999999999997</v>
      </c>
      <c r="R112" s="94">
        <f>IF(('tuot-VKO'!$J$5&gt;0),('tuot-VKO'!D113+'tuot-VKO'!E113)/7/$O$5*100,0)</f>
        <v>0</v>
      </c>
      <c r="S112" s="95">
        <f>IF(('tuot-VKO'!$J$5&gt;0),'tuot-VKO'!D113/7/$O$5*100,0)</f>
        <v>0</v>
      </c>
      <c r="T112" s="93" t="str">
        <f t="shared" si="78"/>
        <v/>
      </c>
      <c r="U112" s="94">
        <f t="shared" si="71"/>
        <v>0</v>
      </c>
      <c r="V112" s="93">
        <f t="shared" si="72"/>
        <v>0</v>
      </c>
      <c r="W112" s="245">
        <f t="shared" si="63"/>
        <v>0</v>
      </c>
      <c r="X112" s="245">
        <f t="shared" si="79"/>
        <v>0</v>
      </c>
      <c r="Y112" s="243">
        <f t="shared" si="73"/>
        <v>0</v>
      </c>
      <c r="Z112" s="243">
        <f t="shared" si="74"/>
        <v>0</v>
      </c>
      <c r="AA112" s="243">
        <f t="shared" si="75"/>
        <v>0</v>
      </c>
      <c r="AB112" s="243" t="str">
        <f t="shared" si="54"/>
        <v/>
      </c>
      <c r="AC112" s="243" t="str">
        <f t="shared" si="68"/>
        <v/>
      </c>
      <c r="AD112" s="245"/>
      <c r="AE112" s="243">
        <f t="shared" si="56"/>
        <v>100</v>
      </c>
      <c r="AF112" s="245"/>
      <c r="AG112" s="243">
        <f t="shared" si="77"/>
        <v>0</v>
      </c>
      <c r="AH112" s="246"/>
      <c r="AI112" s="246"/>
      <c r="AJ112" s="224"/>
      <c r="AK112" s="224"/>
      <c r="AL112" s="224"/>
      <c r="AM112" s="224"/>
    </row>
    <row r="113" spans="1:39" x14ac:dyDescent="0.25">
      <c r="A113" s="120">
        <v>118</v>
      </c>
      <c r="B113" s="91">
        <f>IF(('tuot-VKO'!$J$5&gt;0),$O$5-SUM('tuot-VKO'!$C$11:'tuot-VKO'!C114), )</f>
        <v>9990</v>
      </c>
      <c r="C113" s="92">
        <f>IF(('tuot-VKO'!$J$5&gt;0),100-(SUM('tuot-VKO'!C$11:C114))/$O$5*100, )</f>
        <v>100</v>
      </c>
      <c r="D113" s="93"/>
      <c r="E113" s="94">
        <f>IF(('tuot-VKO'!$J$5&gt;0),('tuot-VKO'!D114+'tuot-VKO'!E114)/7/B113*100, )</f>
        <v>0</v>
      </c>
      <c r="F113" s="95">
        <f>IF(('tuot-VKO'!$J$5&gt;0),'tuot-VKO'!D114/7/B113*100, )</f>
        <v>0</v>
      </c>
      <c r="G113" s="93"/>
      <c r="H113" s="92">
        <f t="shared" si="69"/>
        <v>0</v>
      </c>
      <c r="I113" s="93">
        <f t="shared" si="70"/>
        <v>0</v>
      </c>
      <c r="J113" s="94">
        <f>IF('tuot-VKO'!F114&gt;0,'tuot-VKO'!F114,J112)</f>
        <v>0</v>
      </c>
      <c r="K113" s="96"/>
      <c r="L113" s="92">
        <f>IF(U113&lt;&gt;0,SUMPRODUCT(($J$10:J113)*($Y$10:Y113)/U113),0)</f>
        <v>0</v>
      </c>
      <c r="M113" s="93">
        <f>IF(V113&lt;&gt;0,SUMPRODUCT(($K$10:K113)*($Z$10:Z113)/V113),0)</f>
        <v>0</v>
      </c>
      <c r="N113" s="91">
        <f t="shared" si="66"/>
        <v>0</v>
      </c>
      <c r="O113" s="97">
        <f t="shared" si="67"/>
        <v>0</v>
      </c>
      <c r="P113" s="98">
        <f t="shared" si="76"/>
        <v>0</v>
      </c>
      <c r="Q113" s="99">
        <f t="shared" si="76"/>
        <v>27.819999999999997</v>
      </c>
      <c r="R113" s="94">
        <f>IF(('tuot-VKO'!$J$5&gt;0),('tuot-VKO'!D114+'tuot-VKO'!E114)/7/$O$5*100,0)</f>
        <v>0</v>
      </c>
      <c r="S113" s="95">
        <f>IF(('tuot-VKO'!$J$5&gt;0),'tuot-VKO'!D114/7/$O$5*100,0)</f>
        <v>0</v>
      </c>
      <c r="T113" s="93" t="str">
        <f t="shared" si="78"/>
        <v/>
      </c>
      <c r="U113" s="94">
        <f t="shared" si="71"/>
        <v>0</v>
      </c>
      <c r="V113" s="93">
        <f t="shared" si="72"/>
        <v>0</v>
      </c>
      <c r="W113" s="245">
        <f t="shared" si="63"/>
        <v>0</v>
      </c>
      <c r="X113" s="245">
        <f t="shared" si="79"/>
        <v>0</v>
      </c>
      <c r="Y113" s="243">
        <f t="shared" si="73"/>
        <v>0</v>
      </c>
      <c r="Z113" s="243">
        <f t="shared" si="74"/>
        <v>0</v>
      </c>
      <c r="AA113" s="243">
        <f t="shared" si="75"/>
        <v>0</v>
      </c>
      <c r="AB113" s="243" t="str">
        <f t="shared" si="54"/>
        <v/>
      </c>
      <c r="AC113" s="243" t="str">
        <f t="shared" si="68"/>
        <v/>
      </c>
      <c r="AD113" s="245"/>
      <c r="AE113" s="243">
        <f t="shared" si="56"/>
        <v>100</v>
      </c>
      <c r="AF113" s="245"/>
      <c r="AG113" s="243">
        <f t="shared" si="77"/>
        <v>0</v>
      </c>
      <c r="AH113" s="246"/>
      <c r="AI113" s="246"/>
      <c r="AJ113" s="224"/>
      <c r="AK113" s="224"/>
      <c r="AL113" s="224"/>
      <c r="AM113" s="224"/>
    </row>
    <row r="114" spans="1:39" x14ac:dyDescent="0.25">
      <c r="A114" s="81">
        <v>119</v>
      </c>
      <c r="B114" s="91">
        <f>IF(('tuot-VKO'!$J$5&gt;0),$O$5-SUM('tuot-VKO'!$C$11:'tuot-VKO'!C115), )</f>
        <v>9990</v>
      </c>
      <c r="C114" s="92">
        <f>IF(('tuot-VKO'!$J$5&gt;0),100-(SUM('tuot-VKO'!C$11:C115))/$O$5*100, )</f>
        <v>100</v>
      </c>
      <c r="D114" s="93"/>
      <c r="E114" s="94">
        <f>IF(('tuot-VKO'!$J$5&gt;0),('tuot-VKO'!D115+'tuot-VKO'!E115)/7/B114*100, )</f>
        <v>0</v>
      </c>
      <c r="F114" s="95">
        <f>IF(('tuot-VKO'!$J$5&gt;0),'tuot-VKO'!D115/7/B114*100, )</f>
        <v>0</v>
      </c>
      <c r="G114" s="93"/>
      <c r="H114" s="92">
        <f t="shared" si="69"/>
        <v>0</v>
      </c>
      <c r="I114" s="93">
        <f t="shared" si="70"/>
        <v>0</v>
      </c>
      <c r="J114" s="94">
        <f>IF('tuot-VKO'!F115&gt;0,'tuot-VKO'!F115,J113)</f>
        <v>0</v>
      </c>
      <c r="K114" s="96"/>
      <c r="L114" s="92">
        <f>IF(U114&lt;&gt;0,SUMPRODUCT(($J$10:J114)*($Y$10:Y114)/U114),0)</f>
        <v>0</v>
      </c>
      <c r="M114" s="93">
        <f>IF(V114&lt;&gt;0,SUMPRODUCT(($K$10:K114)*($Z$10:Z114)/V114),0)</f>
        <v>0</v>
      </c>
      <c r="N114" s="91">
        <f t="shared" si="66"/>
        <v>0</v>
      </c>
      <c r="O114" s="97">
        <f t="shared" si="67"/>
        <v>0</v>
      </c>
      <c r="P114" s="98">
        <f t="shared" si="76"/>
        <v>0</v>
      </c>
      <c r="Q114" s="99">
        <f t="shared" si="76"/>
        <v>27.819999999999997</v>
      </c>
      <c r="R114" s="94">
        <f>IF(('tuot-VKO'!$J$5&gt;0),('tuot-VKO'!D115+'tuot-VKO'!E115)/7/$O$5*100,0)</f>
        <v>0</v>
      </c>
      <c r="S114" s="95">
        <f>IF(('tuot-VKO'!$J$5&gt;0),'tuot-VKO'!D115/7/$O$5*100,0)</f>
        <v>0</v>
      </c>
      <c r="T114" s="93" t="str">
        <f t="shared" si="78"/>
        <v/>
      </c>
      <c r="U114" s="94">
        <f t="shared" si="71"/>
        <v>0</v>
      </c>
      <c r="V114" s="93">
        <f t="shared" si="72"/>
        <v>0</v>
      </c>
      <c r="W114" s="245">
        <f t="shared" si="63"/>
        <v>0</v>
      </c>
      <c r="X114" s="245">
        <f t="shared" si="79"/>
        <v>0</v>
      </c>
      <c r="Y114" s="243">
        <f t="shared" si="73"/>
        <v>0</v>
      </c>
      <c r="Z114" s="243">
        <f t="shared" si="74"/>
        <v>0</v>
      </c>
      <c r="AA114" s="243">
        <f t="shared" si="75"/>
        <v>0</v>
      </c>
      <c r="AB114" s="243" t="str">
        <f t="shared" si="54"/>
        <v/>
      </c>
      <c r="AC114" s="243" t="str">
        <f t="shared" si="68"/>
        <v/>
      </c>
      <c r="AD114" s="245"/>
      <c r="AE114" s="243">
        <f t="shared" si="56"/>
        <v>100</v>
      </c>
      <c r="AF114" s="245"/>
      <c r="AG114" s="243">
        <f t="shared" si="77"/>
        <v>0</v>
      </c>
      <c r="AH114" s="246"/>
      <c r="AI114" s="246"/>
      <c r="AJ114" s="224"/>
      <c r="AK114" s="224"/>
      <c r="AL114" s="224"/>
      <c r="AM114" s="224"/>
    </row>
    <row r="115" spans="1:39" ht="15.75" thickBot="1" x14ac:dyDescent="0.3">
      <c r="A115" s="110">
        <v>120</v>
      </c>
      <c r="B115" s="114">
        <f>IF(('tuot-VKO'!$J$5&gt;0),$O$5-SUM('tuot-VKO'!$C$11:'tuot-VKO'!C116), )</f>
        <v>9990</v>
      </c>
      <c r="C115" s="112">
        <f>IF(('tuot-VKO'!$J$5&gt;0),100-(SUM('tuot-VKO'!C$11:C116))/$O$5*100, )</f>
        <v>100</v>
      </c>
      <c r="D115" s="111"/>
      <c r="E115" s="118">
        <f>IF(('tuot-VKO'!$J$5&gt;0),('tuot-VKO'!D116+'tuot-VKO'!E116)/7/B115*100, )</f>
        <v>0</v>
      </c>
      <c r="F115" s="119">
        <f>IF(('tuot-VKO'!$J$5&gt;0),'tuot-VKO'!D116/7/B115*100, )</f>
        <v>0</v>
      </c>
      <c r="G115" s="111"/>
      <c r="H115" s="112">
        <f t="shared" si="69"/>
        <v>0</v>
      </c>
      <c r="I115" s="111">
        <f t="shared" si="70"/>
        <v>0</v>
      </c>
      <c r="J115" s="118">
        <f>IF('tuot-VKO'!F116&gt;0,'tuot-VKO'!F116,J114)</f>
        <v>0</v>
      </c>
      <c r="K115" s="113"/>
      <c r="L115" s="112">
        <f>IF(U115&lt;&gt;0,SUMPRODUCT(($J$10:J115)*($Y$10:Y115)/U115),0)</f>
        <v>0</v>
      </c>
      <c r="M115" s="111">
        <f>IF(V115&lt;&gt;0,SUMPRODUCT(($K$10:K115)*($Z$10:Z115)/V115),0)</f>
        <v>0</v>
      </c>
      <c r="N115" s="114">
        <f t="shared" si="66"/>
        <v>0</v>
      </c>
      <c r="O115" s="115">
        <f t="shared" si="67"/>
        <v>0</v>
      </c>
      <c r="P115" s="116">
        <f t="shared" si="76"/>
        <v>0</v>
      </c>
      <c r="Q115" s="117">
        <f t="shared" si="76"/>
        <v>27.819999999999997</v>
      </c>
      <c r="R115" s="118">
        <f>IF(('tuot-VKO'!$J$5&gt;0),('tuot-VKO'!D116+'tuot-VKO'!E116)/7/$O$5*100,0)</f>
        <v>0</v>
      </c>
      <c r="S115" s="119">
        <f>IF(('tuot-VKO'!$J$5&gt;0),'tuot-VKO'!D116/7/$O$5*100,0)</f>
        <v>0</v>
      </c>
      <c r="T115" s="111" t="str">
        <f t="shared" si="78"/>
        <v/>
      </c>
      <c r="U115" s="118">
        <f t="shared" si="71"/>
        <v>0</v>
      </c>
      <c r="V115" s="111">
        <f t="shared" si="72"/>
        <v>0</v>
      </c>
      <c r="W115" s="245">
        <f t="shared" si="63"/>
        <v>0</v>
      </c>
      <c r="X115" s="245">
        <f t="shared" si="79"/>
        <v>0</v>
      </c>
      <c r="Y115" s="243">
        <f t="shared" si="73"/>
        <v>0</v>
      </c>
      <c r="Z115" s="243">
        <f t="shared" si="74"/>
        <v>0</v>
      </c>
      <c r="AA115" s="243">
        <f t="shared" si="75"/>
        <v>0</v>
      </c>
      <c r="AB115" s="243" t="str">
        <f t="shared" si="54"/>
        <v/>
      </c>
      <c r="AC115" s="243" t="str">
        <f t="shared" si="68"/>
        <v/>
      </c>
      <c r="AD115" s="245"/>
      <c r="AE115" s="243">
        <f t="shared" si="56"/>
        <v>100</v>
      </c>
      <c r="AF115" s="245"/>
      <c r="AG115" s="243">
        <f t="shared" si="77"/>
        <v>0</v>
      </c>
      <c r="AH115" s="246"/>
      <c r="AI115" s="246"/>
      <c r="AJ115" s="224"/>
      <c r="AK115" s="224"/>
      <c r="AL115" s="224"/>
      <c r="AM115" s="224"/>
    </row>
    <row r="116" spans="1:39" ht="15.75" thickTop="1" x14ac:dyDescent="0.25">
      <c r="K116" s="4"/>
      <c r="Z116" s="55"/>
      <c r="AA116" s="55"/>
      <c r="AB116" s="224">
        <f>COUNT(AB10:AB115)</f>
        <v>0</v>
      </c>
      <c r="AC116" s="224">
        <f>COUNT(AC10:AC115)</f>
        <v>0</v>
      </c>
      <c r="AD116" s="55"/>
    </row>
    <row r="117" spans="1:39" x14ac:dyDescent="0.25">
      <c r="K117" s="4"/>
    </row>
    <row r="118" spans="1:39" x14ac:dyDescent="0.25">
      <c r="K118" s="4"/>
    </row>
    <row r="119" spans="1:39" x14ac:dyDescent="0.25">
      <c r="K119" s="4"/>
    </row>
    <row r="120" spans="1:39" x14ac:dyDescent="0.25">
      <c r="K120" s="4"/>
    </row>
    <row r="121" spans="1:39" x14ac:dyDescent="0.25">
      <c r="K121" s="4"/>
    </row>
    <row r="122" spans="1:39" x14ac:dyDescent="0.25">
      <c r="K122" s="4"/>
    </row>
    <row r="123" spans="1:39" x14ac:dyDescent="0.25">
      <c r="K123" s="4"/>
    </row>
    <row r="124" spans="1:39" x14ac:dyDescent="0.25">
      <c r="K124" s="4"/>
    </row>
    <row r="125" spans="1:39" x14ac:dyDescent="0.25">
      <c r="K125" s="4"/>
    </row>
    <row r="126" spans="1:39" x14ac:dyDescent="0.25">
      <c r="K126" s="4"/>
    </row>
    <row r="127" spans="1:39" x14ac:dyDescent="0.25">
      <c r="K127" s="4"/>
    </row>
    <row r="128" spans="1:39" x14ac:dyDescent="0.25">
      <c r="K128" s="4"/>
    </row>
    <row r="129" spans="11:11" x14ac:dyDescent="0.25">
      <c r="K129" s="4"/>
    </row>
    <row r="130" spans="11:11" x14ac:dyDescent="0.25">
      <c r="K130" s="4"/>
    </row>
    <row r="131" spans="11:11" x14ac:dyDescent="0.25">
      <c r="K131" s="4"/>
    </row>
    <row r="132" spans="11:11" x14ac:dyDescent="0.25">
      <c r="K132" s="4"/>
    </row>
    <row r="133" spans="11:11" x14ac:dyDescent="0.25">
      <c r="K133" s="4"/>
    </row>
    <row r="134" spans="11:11" x14ac:dyDescent="0.25">
      <c r="K134" s="4"/>
    </row>
    <row r="135" spans="11:11" x14ac:dyDescent="0.25">
      <c r="K135" s="4"/>
    </row>
    <row r="136" spans="11:11" x14ac:dyDescent="0.25">
      <c r="K136" s="4"/>
    </row>
    <row r="137" spans="11:11" x14ac:dyDescent="0.25">
      <c r="K137" s="4"/>
    </row>
    <row r="138" spans="11:11" x14ac:dyDescent="0.25">
      <c r="K138" s="4"/>
    </row>
    <row r="139" spans="11:11" x14ac:dyDescent="0.25">
      <c r="K139" s="4"/>
    </row>
    <row r="140" spans="11:11" x14ac:dyDescent="0.25">
      <c r="K140" s="4"/>
    </row>
    <row r="141" spans="11:11" x14ac:dyDescent="0.25">
      <c r="K141" s="4"/>
    </row>
    <row r="142" spans="11:11" x14ac:dyDescent="0.25">
      <c r="K142" s="4"/>
    </row>
    <row r="143" spans="11:11" x14ac:dyDescent="0.25">
      <c r="K143" s="4"/>
    </row>
  </sheetData>
  <sheetProtection algorithmName="SHA-512" hashValue="nlFtPM5qiTRRCwb1nvywv0DP8vqQEBnGqQtpPtskP5UZD188qN2vQSa8VDM0D3Q582CagV48QM6G+ZPpytx97Q==" saltValue="kaSJxjSBzlqyWUyLGHL3sA==" spinCount="100000" sheet="1" selectLockedCells="1"/>
  <mergeCells count="15">
    <mergeCell ref="N7:V7"/>
    <mergeCell ref="H8:I8"/>
    <mergeCell ref="B8:D8"/>
    <mergeCell ref="E7:I7"/>
    <mergeCell ref="D3:H3"/>
    <mergeCell ref="D4:H4"/>
    <mergeCell ref="D5:H5"/>
    <mergeCell ref="O3:P3"/>
    <mergeCell ref="O4:P4"/>
    <mergeCell ref="O5:P5"/>
    <mergeCell ref="E8:G8"/>
    <mergeCell ref="U8:V8"/>
    <mergeCell ref="J8:M8"/>
    <mergeCell ref="N8:Q8"/>
    <mergeCell ref="R8:T8"/>
  </mergeCells>
  <conditionalFormatting sqref="E10:F115 R10:S115">
    <cfRule type="cellIs" dxfId="0" priority="1" operator="greaterThan">
      <formula>90</formula>
    </cfRule>
  </conditionalFormatting>
  <pageMargins left="0.7" right="0.7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J100"/>
  <sheetViews>
    <sheetView workbookViewId="0">
      <selection activeCell="J11" sqref="J11"/>
    </sheetView>
  </sheetViews>
  <sheetFormatPr defaultRowHeight="15" x14ac:dyDescent="0.25"/>
  <cols>
    <col min="1" max="1" width="12.7109375" style="174" bestFit="1" customWidth="1"/>
    <col min="2" max="2" width="31.7109375" customWidth="1"/>
    <col min="3" max="3" width="14" customWidth="1"/>
    <col min="4" max="4" width="14.28515625" style="175" bestFit="1" customWidth="1"/>
    <col min="5" max="5" width="14.28515625" bestFit="1" customWidth="1"/>
    <col min="6" max="6" width="35" customWidth="1"/>
    <col min="7" max="8" width="11.7109375" customWidth="1"/>
    <col min="9" max="9" width="17.7109375" customWidth="1"/>
    <col min="10" max="10" width="88.85546875" customWidth="1"/>
  </cols>
  <sheetData>
    <row r="1" spans="1:10" x14ac:dyDescent="0.25">
      <c r="A1" s="304" t="s">
        <v>120</v>
      </c>
      <c r="B1" s="213"/>
      <c r="C1" s="305" t="s">
        <v>122</v>
      </c>
      <c r="D1" s="303" t="s">
        <v>123</v>
      </c>
      <c r="E1" s="303"/>
      <c r="F1" s="213"/>
      <c r="G1" s="302" t="s">
        <v>107</v>
      </c>
      <c r="H1" s="302"/>
      <c r="I1" s="213"/>
      <c r="J1" s="213"/>
    </row>
    <row r="2" spans="1:10" s="173" customFormat="1" ht="30" x14ac:dyDescent="0.25">
      <c r="A2" s="304"/>
      <c r="B2" s="211" t="s">
        <v>121</v>
      </c>
      <c r="C2" s="305"/>
      <c r="D2" s="212" t="s">
        <v>125</v>
      </c>
      <c r="E2" s="211" t="s">
        <v>124</v>
      </c>
      <c r="F2" s="211" t="s">
        <v>126</v>
      </c>
      <c r="G2" s="211" t="s">
        <v>109</v>
      </c>
      <c r="H2" s="211" t="s">
        <v>108</v>
      </c>
      <c r="I2" s="211" t="s">
        <v>119</v>
      </c>
      <c r="J2" s="211" t="s">
        <v>101</v>
      </c>
    </row>
    <row r="3" spans="1:10" x14ac:dyDescent="0.25">
      <c r="A3" s="209"/>
      <c r="B3" s="247"/>
      <c r="C3" s="248"/>
      <c r="D3" s="207"/>
      <c r="E3" s="206"/>
      <c r="F3" s="247"/>
      <c r="G3" s="210">
        <f>SUMIFS('tuot-PVÄ'!X:X,'tuot-PVÄ'!$A:$A,'tuot-rehukirjanpito'!$A3)</f>
        <v>0</v>
      </c>
      <c r="H3" s="210">
        <f>SUMIFS('tuot-PVÄ'!Y:Y,'tuot-PVÄ'!$A:$A,'tuot-rehukirjanpito'!$A3)</f>
        <v>0</v>
      </c>
      <c r="I3" s="248"/>
      <c r="J3" s="208"/>
    </row>
    <row r="4" spans="1:10" x14ac:dyDescent="0.25">
      <c r="A4" s="209"/>
      <c r="B4" s="247"/>
      <c r="C4" s="248"/>
      <c r="D4" s="207"/>
      <c r="E4" s="206"/>
      <c r="F4" s="208"/>
      <c r="G4" s="210">
        <f>SUMIFS('tuot-PVÄ'!X:X,'tuot-PVÄ'!$A:$A,'tuot-rehukirjanpito'!$A4)</f>
        <v>0</v>
      </c>
      <c r="H4" s="210">
        <f>SUMIFS('tuot-PVÄ'!Y:Y,'tuot-PVÄ'!$A:$A,'tuot-rehukirjanpito'!$A4)</f>
        <v>0</v>
      </c>
      <c r="I4" s="248"/>
      <c r="J4" s="208"/>
    </row>
    <row r="5" spans="1:10" x14ac:dyDescent="0.25">
      <c r="A5" s="209"/>
      <c r="B5" s="247"/>
      <c r="C5" s="248"/>
      <c r="D5" s="207"/>
      <c r="E5" s="206"/>
      <c r="F5" s="208"/>
      <c r="G5" s="210">
        <f>ROUND(IF(SUMIFS('tuot-PVÄ'!X:X,'tuot-PVÄ'!$A:$A,'tuot-rehukirjanpito'!$A5)&lt;A5,A5,SUMIFS('tuot-PVÄ'!X:X,'tuot-PVÄ'!$A:$A,'tuot-rehukirjanpito'!$A5)),0)</f>
        <v>0</v>
      </c>
      <c r="H5" s="210">
        <f>ROUND(SUMIFS('tuot-PVÄ'!Y:Y,'tuot-PVÄ'!$A:$A,'tuot-rehukirjanpito'!$A5),0)</f>
        <v>0</v>
      </c>
      <c r="I5" s="248"/>
      <c r="J5" s="208"/>
    </row>
    <row r="6" spans="1:10" x14ac:dyDescent="0.25">
      <c r="A6" s="209"/>
      <c r="B6" s="247"/>
      <c r="C6" s="248"/>
      <c r="D6" s="207"/>
      <c r="E6" s="206"/>
      <c r="F6" s="208"/>
      <c r="G6" s="210">
        <f>ROUND(IF(SUMIFS('tuot-PVÄ'!X:X,'tuot-PVÄ'!$A:$A,'tuot-rehukirjanpito'!$A6)&lt;A6,A6,SUMIFS('tuot-PVÄ'!X:X,'tuot-PVÄ'!$A:$A,'tuot-rehukirjanpito'!$A6)),0)</f>
        <v>0</v>
      </c>
      <c r="H6" s="210">
        <f>ROUND(SUMIFS('tuot-PVÄ'!Y:Y,'tuot-PVÄ'!$A:$A,'tuot-rehukirjanpito'!$A6),0)</f>
        <v>0</v>
      </c>
      <c r="I6" s="248"/>
      <c r="J6" s="208"/>
    </row>
    <row r="7" spans="1:10" x14ac:dyDescent="0.25">
      <c r="A7" s="209"/>
      <c r="B7" s="208"/>
      <c r="C7" s="206"/>
      <c r="D7" s="207"/>
      <c r="E7" s="206"/>
      <c r="F7" s="208"/>
      <c r="G7" s="210">
        <f>ROUND(IF(SUMIFS('tuot-PVÄ'!X:X,'tuot-PVÄ'!$A:$A,'tuot-rehukirjanpito'!$A7)&lt;A7,A7,SUMIFS('tuot-PVÄ'!X:X,'tuot-PVÄ'!$A:$A,'tuot-rehukirjanpito'!$A7)),0)</f>
        <v>0</v>
      </c>
      <c r="H7" s="210">
        <f>ROUND(SUMIFS('tuot-PVÄ'!Y:Y,'tuot-PVÄ'!$A:$A,'tuot-rehukirjanpito'!$A7),0)</f>
        <v>0</v>
      </c>
      <c r="I7" s="206"/>
      <c r="J7" s="208"/>
    </row>
    <row r="8" spans="1:10" x14ac:dyDescent="0.25">
      <c r="A8" s="209"/>
      <c r="B8" s="208"/>
      <c r="C8" s="206"/>
      <c r="D8" s="207"/>
      <c r="E8" s="206"/>
      <c r="F8" s="208"/>
      <c r="G8" s="210">
        <f>ROUND(IF(SUMIFS('tuot-PVÄ'!X:X,'tuot-PVÄ'!$A:$A,'tuot-rehukirjanpito'!$A8)&lt;A8,A8,SUMIFS('tuot-PVÄ'!X:X,'tuot-PVÄ'!$A:$A,'tuot-rehukirjanpito'!$A8)),0)</f>
        <v>0</v>
      </c>
      <c r="H8" s="210">
        <f>ROUND(SUMIFS('tuot-PVÄ'!Y:Y,'tuot-PVÄ'!$A:$A,'tuot-rehukirjanpito'!$A8),0)</f>
        <v>0</v>
      </c>
      <c r="I8" s="206"/>
      <c r="J8" s="208"/>
    </row>
    <row r="9" spans="1:10" x14ac:dyDescent="0.25">
      <c r="A9" s="209"/>
      <c r="B9" s="208"/>
      <c r="C9" s="206"/>
      <c r="D9" s="207"/>
      <c r="E9" s="206"/>
      <c r="F9" s="208"/>
      <c r="G9" s="210">
        <f>ROUND(IF(SUMIFS('tuot-PVÄ'!X:X,'tuot-PVÄ'!$A:$A,'tuot-rehukirjanpito'!$A9)&lt;A9,A9,SUMIFS('tuot-PVÄ'!X:X,'tuot-PVÄ'!$A:$A,'tuot-rehukirjanpito'!$A9)),0)</f>
        <v>0</v>
      </c>
      <c r="H9" s="210">
        <f>ROUND(SUMIFS('tuot-PVÄ'!Y:Y,'tuot-PVÄ'!$A:$A,'tuot-rehukirjanpito'!$A9),0)</f>
        <v>0</v>
      </c>
      <c r="I9" s="206"/>
      <c r="J9" s="208"/>
    </row>
    <row r="10" spans="1:10" x14ac:dyDescent="0.25">
      <c r="A10" s="209"/>
      <c r="B10" s="208"/>
      <c r="C10" s="206"/>
      <c r="D10" s="207"/>
      <c r="E10" s="206"/>
      <c r="F10" s="208"/>
      <c r="G10" s="210">
        <f>ROUND(IF(SUMIFS('tuot-PVÄ'!X:X,'tuot-PVÄ'!$A:$A,'tuot-rehukirjanpito'!$A10)&lt;A10,A10,SUMIFS('tuot-PVÄ'!X:X,'tuot-PVÄ'!$A:$A,'tuot-rehukirjanpito'!$A10)),0)</f>
        <v>0</v>
      </c>
      <c r="H10" s="210">
        <f>ROUND(SUMIFS('tuot-PVÄ'!Y:Y,'tuot-PVÄ'!$A:$A,'tuot-rehukirjanpito'!$A10),0)</f>
        <v>0</v>
      </c>
      <c r="I10" s="206"/>
      <c r="J10" s="208"/>
    </row>
    <row r="11" spans="1:10" x14ac:dyDescent="0.25">
      <c r="A11" s="209"/>
      <c r="B11" s="208"/>
      <c r="C11" s="206"/>
      <c r="D11" s="207"/>
      <c r="E11" s="206"/>
      <c r="F11" s="208"/>
      <c r="G11" s="210">
        <f>ROUND(IF(SUMIFS('tuot-PVÄ'!X:X,'tuot-PVÄ'!$A:$A,'tuot-rehukirjanpito'!$A11)&lt;A11,A11,SUMIFS('tuot-PVÄ'!X:X,'tuot-PVÄ'!$A:$A,'tuot-rehukirjanpito'!$A11)),0)</f>
        <v>0</v>
      </c>
      <c r="H11" s="210">
        <f>ROUND(SUMIFS('tuot-PVÄ'!Y:Y,'tuot-PVÄ'!$A:$A,'tuot-rehukirjanpito'!$A11),0)</f>
        <v>0</v>
      </c>
      <c r="I11" s="206"/>
      <c r="J11" s="208"/>
    </row>
    <row r="12" spans="1:10" x14ac:dyDescent="0.25">
      <c r="A12" s="209"/>
      <c r="B12" s="208"/>
      <c r="C12" s="206"/>
      <c r="D12" s="207"/>
      <c r="E12" s="206"/>
      <c r="F12" s="208"/>
      <c r="G12" s="210">
        <f>ROUND(IF(SUMIFS('tuot-PVÄ'!X:X,'tuot-PVÄ'!$A:$A,'tuot-rehukirjanpito'!$A12)&lt;A12,A12,SUMIFS('tuot-PVÄ'!X:X,'tuot-PVÄ'!$A:$A,'tuot-rehukirjanpito'!$A12)),0)</f>
        <v>0</v>
      </c>
      <c r="H12" s="210">
        <f>ROUND(SUMIFS('tuot-PVÄ'!Y:Y,'tuot-PVÄ'!$A:$A,'tuot-rehukirjanpito'!$A12),0)</f>
        <v>0</v>
      </c>
      <c r="I12" s="206"/>
      <c r="J12" s="208"/>
    </row>
    <row r="13" spans="1:10" x14ac:dyDescent="0.25">
      <c r="A13" s="209"/>
      <c r="B13" s="208"/>
      <c r="C13" s="206"/>
      <c r="D13" s="207"/>
      <c r="E13" s="206"/>
      <c r="F13" s="208"/>
      <c r="G13" s="210">
        <f>ROUND(IF(SUMIFS('tuot-PVÄ'!X:X,'tuot-PVÄ'!$A:$A,'tuot-rehukirjanpito'!$A13)&lt;A13,A13,SUMIFS('tuot-PVÄ'!X:X,'tuot-PVÄ'!$A:$A,'tuot-rehukirjanpito'!$A13)),0)</f>
        <v>0</v>
      </c>
      <c r="H13" s="210">
        <f>ROUND(SUMIFS('tuot-PVÄ'!Y:Y,'tuot-PVÄ'!$A:$A,'tuot-rehukirjanpito'!$A13),0)</f>
        <v>0</v>
      </c>
      <c r="I13" s="206"/>
      <c r="J13" s="208"/>
    </row>
    <row r="14" spans="1:10" x14ac:dyDescent="0.25">
      <c r="A14" s="209"/>
      <c r="B14" s="208"/>
      <c r="C14" s="206"/>
      <c r="D14" s="207"/>
      <c r="E14" s="206"/>
      <c r="F14" s="208"/>
      <c r="G14" s="210">
        <f>ROUND(IF(SUMIFS('tuot-PVÄ'!X:X,'tuot-PVÄ'!$A:$A,'tuot-rehukirjanpito'!$A14)&lt;A14,A14,SUMIFS('tuot-PVÄ'!X:X,'tuot-PVÄ'!$A:$A,'tuot-rehukirjanpito'!$A14)),0)</f>
        <v>0</v>
      </c>
      <c r="H14" s="210">
        <f>ROUND(SUMIFS('tuot-PVÄ'!Y:Y,'tuot-PVÄ'!$A:$A,'tuot-rehukirjanpito'!$A14),0)</f>
        <v>0</v>
      </c>
      <c r="I14" s="206"/>
      <c r="J14" s="208"/>
    </row>
    <row r="15" spans="1:10" x14ac:dyDescent="0.25">
      <c r="A15" s="209"/>
      <c r="B15" s="208"/>
      <c r="C15" s="206"/>
      <c r="D15" s="207"/>
      <c r="E15" s="206"/>
      <c r="F15" s="208"/>
      <c r="G15" s="210">
        <f>ROUND(IF(SUMIFS('tuot-PVÄ'!X:X,'tuot-PVÄ'!$A:$A,'tuot-rehukirjanpito'!$A15)&lt;A15,A15,SUMIFS('tuot-PVÄ'!X:X,'tuot-PVÄ'!$A:$A,'tuot-rehukirjanpito'!$A15)),0)</f>
        <v>0</v>
      </c>
      <c r="H15" s="210">
        <f>ROUND(SUMIFS('tuot-PVÄ'!Y:Y,'tuot-PVÄ'!$A:$A,'tuot-rehukirjanpito'!$A15),0)</f>
        <v>0</v>
      </c>
      <c r="I15" s="206"/>
      <c r="J15" s="208"/>
    </row>
    <row r="16" spans="1:10" x14ac:dyDescent="0.25">
      <c r="A16" s="209"/>
      <c r="B16" s="208"/>
      <c r="C16" s="206"/>
      <c r="D16" s="207"/>
      <c r="E16" s="206"/>
      <c r="F16" s="208"/>
      <c r="G16" s="210">
        <f>ROUND(IF(SUMIFS('tuot-PVÄ'!X:X,'tuot-PVÄ'!$A:$A,'tuot-rehukirjanpito'!$A16)&lt;A16,A16,SUMIFS('tuot-PVÄ'!X:X,'tuot-PVÄ'!$A:$A,'tuot-rehukirjanpito'!$A16)),0)</f>
        <v>0</v>
      </c>
      <c r="H16" s="210">
        <f>ROUND(SUMIFS('tuot-PVÄ'!Y:Y,'tuot-PVÄ'!$A:$A,'tuot-rehukirjanpito'!$A16),0)</f>
        <v>0</v>
      </c>
      <c r="I16" s="206"/>
      <c r="J16" s="208"/>
    </row>
    <row r="17" spans="1:10" x14ac:dyDescent="0.25">
      <c r="A17" s="209"/>
      <c r="B17" s="208"/>
      <c r="C17" s="206"/>
      <c r="D17" s="207"/>
      <c r="E17" s="206"/>
      <c r="F17" s="208"/>
      <c r="G17" s="210">
        <f>ROUND(IF(SUMIFS('tuot-PVÄ'!X:X,'tuot-PVÄ'!$A:$A,'tuot-rehukirjanpito'!$A17)&lt;A17,A17,SUMIFS('tuot-PVÄ'!X:X,'tuot-PVÄ'!$A:$A,'tuot-rehukirjanpito'!$A17)),0)</f>
        <v>0</v>
      </c>
      <c r="H17" s="210">
        <f>ROUND(SUMIFS('tuot-PVÄ'!Y:Y,'tuot-PVÄ'!$A:$A,'tuot-rehukirjanpito'!$A17),0)</f>
        <v>0</v>
      </c>
      <c r="I17" s="206"/>
      <c r="J17" s="208"/>
    </row>
    <row r="18" spans="1:10" x14ac:dyDescent="0.25">
      <c r="A18" s="209"/>
      <c r="B18" s="208"/>
      <c r="C18" s="206"/>
      <c r="D18" s="207"/>
      <c r="E18" s="206"/>
      <c r="F18" s="208"/>
      <c r="G18" s="210">
        <f>ROUND(IF(SUMIFS('tuot-PVÄ'!X:X,'tuot-PVÄ'!$A:$A,'tuot-rehukirjanpito'!$A18)&lt;A18,A18,SUMIFS('tuot-PVÄ'!X:X,'tuot-PVÄ'!$A:$A,'tuot-rehukirjanpito'!$A18)),0)</f>
        <v>0</v>
      </c>
      <c r="H18" s="210">
        <f>ROUND(SUMIFS('tuot-PVÄ'!Y:Y,'tuot-PVÄ'!$A:$A,'tuot-rehukirjanpito'!$A18),0)</f>
        <v>0</v>
      </c>
      <c r="I18" s="206"/>
      <c r="J18" s="208"/>
    </row>
    <row r="19" spans="1:10" x14ac:dyDescent="0.25">
      <c r="A19" s="209"/>
      <c r="B19" s="208"/>
      <c r="C19" s="206"/>
      <c r="D19" s="207"/>
      <c r="E19" s="206"/>
      <c r="F19" s="208"/>
      <c r="G19" s="210">
        <f>ROUND(IF(SUMIFS('tuot-PVÄ'!X:X,'tuot-PVÄ'!$A:$A,'tuot-rehukirjanpito'!$A19)&lt;A19,A19,SUMIFS('tuot-PVÄ'!X:X,'tuot-PVÄ'!$A:$A,'tuot-rehukirjanpito'!$A19)),0)</f>
        <v>0</v>
      </c>
      <c r="H19" s="210">
        <f>ROUND(SUMIFS('tuot-PVÄ'!Y:Y,'tuot-PVÄ'!$A:$A,'tuot-rehukirjanpito'!$A19),0)</f>
        <v>0</v>
      </c>
      <c r="I19" s="206"/>
      <c r="J19" s="208"/>
    </row>
    <row r="20" spans="1:10" x14ac:dyDescent="0.25">
      <c r="A20" s="209"/>
      <c r="B20" s="208"/>
      <c r="C20" s="206"/>
      <c r="D20" s="207"/>
      <c r="E20" s="206"/>
      <c r="F20" s="208"/>
      <c r="G20" s="210">
        <f>ROUND(IF(SUMIFS('tuot-PVÄ'!X:X,'tuot-PVÄ'!$A:$A,'tuot-rehukirjanpito'!$A20)&lt;A20,A20,SUMIFS('tuot-PVÄ'!X:X,'tuot-PVÄ'!$A:$A,'tuot-rehukirjanpito'!$A20)),0)</f>
        <v>0</v>
      </c>
      <c r="H20" s="210">
        <f>ROUND(SUMIFS('tuot-PVÄ'!Y:Y,'tuot-PVÄ'!$A:$A,'tuot-rehukirjanpito'!$A20),0)</f>
        <v>0</v>
      </c>
      <c r="I20" s="206"/>
      <c r="J20" s="208"/>
    </row>
    <row r="21" spans="1:10" x14ac:dyDescent="0.25">
      <c r="A21" s="209"/>
      <c r="B21" s="208"/>
      <c r="C21" s="206"/>
      <c r="D21" s="207"/>
      <c r="E21" s="206"/>
      <c r="F21" s="208"/>
      <c r="G21" s="210">
        <f>ROUND(IF(SUMIFS('tuot-PVÄ'!X:X,'tuot-PVÄ'!$A:$A,'tuot-rehukirjanpito'!$A21)&lt;A21,A21,SUMIFS('tuot-PVÄ'!X:X,'tuot-PVÄ'!$A:$A,'tuot-rehukirjanpito'!$A21)),0)</f>
        <v>0</v>
      </c>
      <c r="H21" s="210">
        <f>ROUND(SUMIFS('tuot-PVÄ'!Y:Y,'tuot-PVÄ'!$A:$A,'tuot-rehukirjanpito'!$A21),0)</f>
        <v>0</v>
      </c>
      <c r="I21" s="206"/>
      <c r="J21" s="208"/>
    </row>
    <row r="22" spans="1:10" x14ac:dyDescent="0.25">
      <c r="A22" s="209"/>
      <c r="B22" s="208"/>
      <c r="C22" s="206"/>
      <c r="D22" s="207"/>
      <c r="E22" s="206"/>
      <c r="F22" s="208"/>
      <c r="G22" s="210">
        <f>ROUND(IF(SUMIFS('tuot-PVÄ'!X:X,'tuot-PVÄ'!$A:$A,'tuot-rehukirjanpito'!$A22)&lt;A22,A22,SUMIFS('tuot-PVÄ'!X:X,'tuot-PVÄ'!$A:$A,'tuot-rehukirjanpito'!$A22)),0)</f>
        <v>0</v>
      </c>
      <c r="H22" s="210">
        <f>ROUND(SUMIFS('tuot-PVÄ'!Y:Y,'tuot-PVÄ'!$A:$A,'tuot-rehukirjanpito'!$A22),0)</f>
        <v>0</v>
      </c>
      <c r="I22" s="206"/>
      <c r="J22" s="208"/>
    </row>
    <row r="23" spans="1:10" x14ac:dyDescent="0.25">
      <c r="A23" s="209"/>
      <c r="B23" s="208"/>
      <c r="C23" s="206"/>
      <c r="D23" s="207"/>
      <c r="E23" s="206"/>
      <c r="F23" s="208"/>
      <c r="G23" s="210">
        <f>ROUND(IF(SUMIFS('tuot-PVÄ'!X:X,'tuot-PVÄ'!$A:$A,'tuot-rehukirjanpito'!$A23)&lt;A23,A23,SUMIFS('tuot-PVÄ'!X:X,'tuot-PVÄ'!$A:$A,'tuot-rehukirjanpito'!$A23)),0)</f>
        <v>0</v>
      </c>
      <c r="H23" s="210">
        <f>ROUND(SUMIFS('tuot-PVÄ'!Y:Y,'tuot-PVÄ'!$A:$A,'tuot-rehukirjanpito'!$A23),0)</f>
        <v>0</v>
      </c>
      <c r="I23" s="206"/>
      <c r="J23" s="208"/>
    </row>
    <row r="24" spans="1:10" x14ac:dyDescent="0.25">
      <c r="A24" s="209"/>
      <c r="B24" s="208"/>
      <c r="C24" s="206"/>
      <c r="D24" s="207"/>
      <c r="E24" s="206"/>
      <c r="F24" s="208"/>
      <c r="G24" s="210">
        <f>ROUND(IF(SUMIFS('tuot-PVÄ'!X:X,'tuot-PVÄ'!$A:$A,'tuot-rehukirjanpito'!$A24)&lt;A24,A24,SUMIFS('tuot-PVÄ'!X:X,'tuot-PVÄ'!$A:$A,'tuot-rehukirjanpito'!$A24)),0)</f>
        <v>0</v>
      </c>
      <c r="H24" s="210">
        <f>ROUND(SUMIFS('tuot-PVÄ'!Y:Y,'tuot-PVÄ'!$A:$A,'tuot-rehukirjanpito'!$A24),0)</f>
        <v>0</v>
      </c>
      <c r="I24" s="206"/>
      <c r="J24" s="208"/>
    </row>
    <row r="25" spans="1:10" x14ac:dyDescent="0.25">
      <c r="A25" s="209"/>
      <c r="B25" s="208"/>
      <c r="C25" s="206"/>
      <c r="D25" s="207"/>
      <c r="E25" s="206"/>
      <c r="F25" s="208"/>
      <c r="G25" s="210">
        <f>ROUND(IF(SUMIFS('tuot-PVÄ'!X:X,'tuot-PVÄ'!$A:$A,'tuot-rehukirjanpito'!$A25)&lt;A25,A25,SUMIFS('tuot-PVÄ'!X:X,'tuot-PVÄ'!$A:$A,'tuot-rehukirjanpito'!$A25)),0)</f>
        <v>0</v>
      </c>
      <c r="H25" s="210">
        <f>ROUND(SUMIFS('tuot-PVÄ'!Y:Y,'tuot-PVÄ'!$A:$A,'tuot-rehukirjanpito'!$A25),0)</f>
        <v>0</v>
      </c>
      <c r="I25" s="206"/>
      <c r="J25" s="208"/>
    </row>
    <row r="26" spans="1:10" x14ac:dyDescent="0.25">
      <c r="A26" s="209"/>
      <c r="B26" s="208"/>
      <c r="C26" s="206"/>
      <c r="D26" s="207"/>
      <c r="E26" s="206"/>
      <c r="F26" s="208"/>
      <c r="G26" s="210">
        <f>ROUND(IF(SUMIFS('tuot-PVÄ'!X:X,'tuot-PVÄ'!$A:$A,'tuot-rehukirjanpito'!$A26)&lt;A26,A26,SUMIFS('tuot-PVÄ'!X:X,'tuot-PVÄ'!$A:$A,'tuot-rehukirjanpito'!$A26)),0)</f>
        <v>0</v>
      </c>
      <c r="H26" s="210">
        <f>ROUND(SUMIFS('tuot-PVÄ'!Y:Y,'tuot-PVÄ'!$A:$A,'tuot-rehukirjanpito'!$A26),0)</f>
        <v>0</v>
      </c>
      <c r="I26" s="206"/>
      <c r="J26" s="208"/>
    </row>
    <row r="27" spans="1:10" x14ac:dyDescent="0.25">
      <c r="A27" s="209"/>
      <c r="B27" s="208"/>
      <c r="C27" s="206"/>
      <c r="D27" s="207"/>
      <c r="E27" s="206"/>
      <c r="F27" s="208"/>
      <c r="G27" s="210">
        <f>ROUND(IF(SUMIFS('tuot-PVÄ'!X:X,'tuot-PVÄ'!$A:$A,'tuot-rehukirjanpito'!$A27)&lt;A27,A27,SUMIFS('tuot-PVÄ'!X:X,'tuot-PVÄ'!$A:$A,'tuot-rehukirjanpito'!$A27)),0)</f>
        <v>0</v>
      </c>
      <c r="H27" s="210">
        <f>ROUND(SUMIFS('tuot-PVÄ'!Y:Y,'tuot-PVÄ'!$A:$A,'tuot-rehukirjanpito'!$A27),0)</f>
        <v>0</v>
      </c>
      <c r="I27" s="206"/>
      <c r="J27" s="208"/>
    </row>
    <row r="28" spans="1:10" x14ac:dyDescent="0.25">
      <c r="A28" s="209"/>
      <c r="B28" s="208"/>
      <c r="C28" s="206"/>
      <c r="D28" s="207"/>
      <c r="E28" s="206"/>
      <c r="F28" s="208"/>
      <c r="G28" s="210">
        <f>ROUND(IF(SUMIFS('tuot-PVÄ'!X:X,'tuot-PVÄ'!$A:$A,'tuot-rehukirjanpito'!$A28)&lt;A28,A28,SUMIFS('tuot-PVÄ'!X:X,'tuot-PVÄ'!$A:$A,'tuot-rehukirjanpito'!$A28)),0)</f>
        <v>0</v>
      </c>
      <c r="H28" s="210">
        <f>ROUND(SUMIFS('tuot-PVÄ'!Y:Y,'tuot-PVÄ'!$A:$A,'tuot-rehukirjanpito'!$A28),0)</f>
        <v>0</v>
      </c>
      <c r="I28" s="206"/>
      <c r="J28" s="208"/>
    </row>
    <row r="29" spans="1:10" x14ac:dyDescent="0.25">
      <c r="A29" s="209"/>
      <c r="B29" s="208"/>
      <c r="C29" s="206"/>
      <c r="D29" s="207"/>
      <c r="E29" s="206"/>
      <c r="F29" s="208"/>
      <c r="G29" s="210">
        <f>ROUND(IF(SUMIFS('tuot-PVÄ'!X:X,'tuot-PVÄ'!$A:$A,'tuot-rehukirjanpito'!$A29)&lt;A29,A29,SUMIFS('tuot-PVÄ'!X:X,'tuot-PVÄ'!$A:$A,'tuot-rehukirjanpito'!$A29)),0)</f>
        <v>0</v>
      </c>
      <c r="H29" s="210">
        <f>ROUND(SUMIFS('tuot-PVÄ'!Y:Y,'tuot-PVÄ'!$A:$A,'tuot-rehukirjanpito'!$A29),0)</f>
        <v>0</v>
      </c>
      <c r="I29" s="206"/>
      <c r="J29" s="208"/>
    </row>
    <row r="30" spans="1:10" x14ac:dyDescent="0.25">
      <c r="A30" s="209"/>
      <c r="B30" s="208"/>
      <c r="C30" s="206"/>
      <c r="D30" s="207"/>
      <c r="E30" s="206"/>
      <c r="F30" s="208"/>
      <c r="G30" s="210">
        <f>ROUND(IF(SUMIFS('tuot-PVÄ'!X:X,'tuot-PVÄ'!$A:$A,'tuot-rehukirjanpito'!$A30)&lt;A30,A30,SUMIFS('tuot-PVÄ'!X:X,'tuot-PVÄ'!$A:$A,'tuot-rehukirjanpito'!$A30)),0)</f>
        <v>0</v>
      </c>
      <c r="H30" s="210">
        <f>ROUND(SUMIFS('tuot-PVÄ'!Y:Y,'tuot-PVÄ'!$A:$A,'tuot-rehukirjanpito'!$A30),0)</f>
        <v>0</v>
      </c>
      <c r="I30" s="206"/>
      <c r="J30" s="208"/>
    </row>
    <row r="31" spans="1:10" x14ac:dyDescent="0.25">
      <c r="A31" s="209"/>
      <c r="B31" s="208"/>
      <c r="C31" s="206"/>
      <c r="D31" s="207"/>
      <c r="E31" s="206"/>
      <c r="F31" s="208"/>
      <c r="G31" s="210">
        <f>ROUND(IF(SUMIFS('tuot-PVÄ'!X:X,'tuot-PVÄ'!$A:$A,'tuot-rehukirjanpito'!$A31)&lt;A31,A31,SUMIFS('tuot-PVÄ'!X:X,'tuot-PVÄ'!$A:$A,'tuot-rehukirjanpito'!$A31)),0)</f>
        <v>0</v>
      </c>
      <c r="H31" s="210">
        <f>ROUND(SUMIFS('tuot-PVÄ'!Y:Y,'tuot-PVÄ'!$A:$A,'tuot-rehukirjanpito'!$A31),0)</f>
        <v>0</v>
      </c>
      <c r="I31" s="206"/>
      <c r="J31" s="208"/>
    </row>
    <row r="32" spans="1:10" x14ac:dyDescent="0.25">
      <c r="A32" s="209"/>
      <c r="B32" s="208"/>
      <c r="C32" s="206"/>
      <c r="D32" s="207"/>
      <c r="E32" s="206"/>
      <c r="F32" s="208"/>
      <c r="G32" s="210">
        <f>ROUND(IF(SUMIFS('tuot-PVÄ'!X:X,'tuot-PVÄ'!$A:$A,'tuot-rehukirjanpito'!$A32)&lt;A32,A32,SUMIFS('tuot-PVÄ'!X:X,'tuot-PVÄ'!$A:$A,'tuot-rehukirjanpito'!$A32)),0)</f>
        <v>0</v>
      </c>
      <c r="H32" s="210">
        <f>ROUND(SUMIFS('tuot-PVÄ'!Y:Y,'tuot-PVÄ'!$A:$A,'tuot-rehukirjanpito'!$A32),0)</f>
        <v>0</v>
      </c>
      <c r="I32" s="206"/>
      <c r="J32" s="208"/>
    </row>
    <row r="33" spans="1:10" x14ac:dyDescent="0.25">
      <c r="A33" s="209"/>
      <c r="B33" s="208"/>
      <c r="C33" s="206"/>
      <c r="D33" s="207"/>
      <c r="E33" s="206"/>
      <c r="F33" s="208"/>
      <c r="G33" s="210">
        <f>ROUND(IF(SUMIFS('tuot-PVÄ'!X:X,'tuot-PVÄ'!$A:$A,'tuot-rehukirjanpito'!$A33)&lt;A33,A33,SUMIFS('tuot-PVÄ'!X:X,'tuot-PVÄ'!$A:$A,'tuot-rehukirjanpito'!$A33)),0)</f>
        <v>0</v>
      </c>
      <c r="H33" s="210">
        <f>ROUND(SUMIFS('tuot-PVÄ'!Y:Y,'tuot-PVÄ'!$A:$A,'tuot-rehukirjanpito'!$A33),0)</f>
        <v>0</v>
      </c>
      <c r="I33" s="206"/>
      <c r="J33" s="208"/>
    </row>
    <row r="34" spans="1:10" x14ac:dyDescent="0.25">
      <c r="A34" s="209"/>
      <c r="B34" s="208"/>
      <c r="C34" s="206"/>
      <c r="D34" s="207"/>
      <c r="E34" s="206"/>
      <c r="F34" s="208"/>
      <c r="G34" s="210">
        <f>ROUND(IF(SUMIFS('tuot-PVÄ'!X:X,'tuot-PVÄ'!$A:$A,'tuot-rehukirjanpito'!$A34)&lt;A34,A34,SUMIFS('tuot-PVÄ'!X:X,'tuot-PVÄ'!$A:$A,'tuot-rehukirjanpito'!$A34)),0)</f>
        <v>0</v>
      </c>
      <c r="H34" s="210">
        <f>ROUND(SUMIFS('tuot-PVÄ'!Y:Y,'tuot-PVÄ'!$A:$A,'tuot-rehukirjanpito'!$A34),0)</f>
        <v>0</v>
      </c>
      <c r="I34" s="206"/>
      <c r="J34" s="208"/>
    </row>
    <row r="35" spans="1:10" x14ac:dyDescent="0.25">
      <c r="A35" s="209"/>
      <c r="B35" s="208"/>
      <c r="C35" s="206"/>
      <c r="D35" s="207"/>
      <c r="E35" s="206"/>
      <c r="F35" s="208"/>
      <c r="G35" s="210">
        <f>ROUND(IF(SUMIFS('tuot-PVÄ'!X:X,'tuot-PVÄ'!$A:$A,'tuot-rehukirjanpito'!$A35)&lt;A35,A35,SUMIFS('tuot-PVÄ'!X:X,'tuot-PVÄ'!$A:$A,'tuot-rehukirjanpito'!$A35)),0)</f>
        <v>0</v>
      </c>
      <c r="H35" s="210">
        <f>ROUND(SUMIFS('tuot-PVÄ'!Y:Y,'tuot-PVÄ'!$A:$A,'tuot-rehukirjanpito'!$A35),0)</f>
        <v>0</v>
      </c>
      <c r="I35" s="206"/>
      <c r="J35" s="208"/>
    </row>
    <row r="36" spans="1:10" x14ac:dyDescent="0.25">
      <c r="A36" s="209"/>
      <c r="B36" s="208"/>
      <c r="C36" s="206"/>
      <c r="D36" s="207"/>
      <c r="E36" s="206"/>
      <c r="F36" s="208"/>
      <c r="G36" s="210">
        <f>ROUND(IF(SUMIFS('tuot-PVÄ'!X:X,'tuot-PVÄ'!$A:$A,'tuot-rehukirjanpito'!$A36)&lt;A36,A36,SUMIFS('tuot-PVÄ'!X:X,'tuot-PVÄ'!$A:$A,'tuot-rehukirjanpito'!$A36)),0)</f>
        <v>0</v>
      </c>
      <c r="H36" s="210">
        <f>ROUND(SUMIFS('tuot-PVÄ'!Y:Y,'tuot-PVÄ'!$A:$A,'tuot-rehukirjanpito'!$A36),0)</f>
        <v>0</v>
      </c>
      <c r="I36" s="206"/>
      <c r="J36" s="208"/>
    </row>
    <row r="37" spans="1:10" x14ac:dyDescent="0.25">
      <c r="A37" s="209"/>
      <c r="B37" s="208"/>
      <c r="C37" s="206"/>
      <c r="D37" s="207"/>
      <c r="E37" s="206"/>
      <c r="F37" s="208"/>
      <c r="G37" s="210">
        <f>ROUND(IF(SUMIFS('tuot-PVÄ'!X:X,'tuot-PVÄ'!$A:$A,'tuot-rehukirjanpito'!$A37)&lt;A37,A37,SUMIFS('tuot-PVÄ'!X:X,'tuot-PVÄ'!$A:$A,'tuot-rehukirjanpito'!$A37)),0)</f>
        <v>0</v>
      </c>
      <c r="H37" s="210">
        <f>ROUND(SUMIFS('tuot-PVÄ'!Y:Y,'tuot-PVÄ'!$A:$A,'tuot-rehukirjanpito'!$A37),0)</f>
        <v>0</v>
      </c>
      <c r="I37" s="206"/>
      <c r="J37" s="208"/>
    </row>
    <row r="38" spans="1:10" x14ac:dyDescent="0.25">
      <c r="A38" s="209"/>
      <c r="B38" s="208"/>
      <c r="C38" s="206"/>
      <c r="D38" s="207"/>
      <c r="E38" s="206"/>
      <c r="F38" s="208"/>
      <c r="G38" s="210">
        <f>ROUND(IF(SUMIFS('tuot-PVÄ'!X:X,'tuot-PVÄ'!$A:$A,'tuot-rehukirjanpito'!$A38)&lt;A38,A38,SUMIFS('tuot-PVÄ'!X:X,'tuot-PVÄ'!$A:$A,'tuot-rehukirjanpito'!$A38)),0)</f>
        <v>0</v>
      </c>
      <c r="H38" s="210">
        <f>ROUND(SUMIFS('tuot-PVÄ'!Y:Y,'tuot-PVÄ'!$A:$A,'tuot-rehukirjanpito'!$A38),0)</f>
        <v>0</v>
      </c>
      <c r="I38" s="206"/>
      <c r="J38" s="208"/>
    </row>
    <row r="39" spans="1:10" x14ac:dyDescent="0.25">
      <c r="A39" s="209"/>
      <c r="B39" s="208"/>
      <c r="C39" s="206"/>
      <c r="D39" s="207"/>
      <c r="E39" s="206"/>
      <c r="F39" s="208"/>
      <c r="G39" s="210">
        <f>ROUND(IF(SUMIFS('tuot-PVÄ'!X:X,'tuot-PVÄ'!$A:$A,'tuot-rehukirjanpito'!$A39)&lt;A39,A39,SUMIFS('tuot-PVÄ'!X:X,'tuot-PVÄ'!$A:$A,'tuot-rehukirjanpito'!$A39)),0)</f>
        <v>0</v>
      </c>
      <c r="H39" s="210">
        <f>ROUND(SUMIFS('tuot-PVÄ'!Y:Y,'tuot-PVÄ'!$A:$A,'tuot-rehukirjanpito'!$A39),0)</f>
        <v>0</v>
      </c>
      <c r="I39" s="206"/>
      <c r="J39" s="208"/>
    </row>
    <row r="40" spans="1:10" x14ac:dyDescent="0.25">
      <c r="A40" s="209"/>
      <c r="B40" s="208"/>
      <c r="C40" s="206"/>
      <c r="D40" s="207"/>
      <c r="E40" s="206"/>
      <c r="F40" s="208"/>
      <c r="G40" s="210">
        <f>ROUND(IF(SUMIFS('tuot-PVÄ'!X:X,'tuot-PVÄ'!$A:$A,'tuot-rehukirjanpito'!$A40)&lt;A40,A40,SUMIFS('tuot-PVÄ'!X:X,'tuot-PVÄ'!$A:$A,'tuot-rehukirjanpito'!$A40)),0)</f>
        <v>0</v>
      </c>
      <c r="H40" s="210">
        <f>ROUND(SUMIFS('tuot-PVÄ'!Y:Y,'tuot-PVÄ'!$A:$A,'tuot-rehukirjanpito'!$A40),0)</f>
        <v>0</v>
      </c>
      <c r="I40" s="206"/>
      <c r="J40" s="208"/>
    </row>
    <row r="41" spans="1:10" x14ac:dyDescent="0.25">
      <c r="A41" s="209"/>
      <c r="B41" s="208"/>
      <c r="C41" s="206"/>
      <c r="D41" s="207"/>
      <c r="E41" s="206"/>
      <c r="F41" s="208"/>
      <c r="G41" s="210">
        <f>ROUND(IF(SUMIFS('tuot-PVÄ'!X:X,'tuot-PVÄ'!$A:$A,'tuot-rehukirjanpito'!$A41)&lt;A41,A41,SUMIFS('tuot-PVÄ'!X:X,'tuot-PVÄ'!$A:$A,'tuot-rehukirjanpito'!$A41)),0)</f>
        <v>0</v>
      </c>
      <c r="H41" s="210">
        <f>ROUND(SUMIFS('tuot-PVÄ'!Y:Y,'tuot-PVÄ'!$A:$A,'tuot-rehukirjanpito'!$A41),0)</f>
        <v>0</v>
      </c>
      <c r="I41" s="206"/>
      <c r="J41" s="208"/>
    </row>
    <row r="42" spans="1:10" x14ac:dyDescent="0.25">
      <c r="A42" s="209"/>
      <c r="B42" s="208"/>
      <c r="C42" s="206"/>
      <c r="D42" s="207"/>
      <c r="E42" s="206"/>
      <c r="F42" s="208"/>
      <c r="G42" s="210">
        <f>ROUND(IF(SUMIFS('tuot-PVÄ'!X:X,'tuot-PVÄ'!$A:$A,'tuot-rehukirjanpito'!$A42)&lt;A42,A42,SUMIFS('tuot-PVÄ'!X:X,'tuot-PVÄ'!$A:$A,'tuot-rehukirjanpito'!$A42)),0)</f>
        <v>0</v>
      </c>
      <c r="H42" s="210">
        <f>ROUND(SUMIFS('tuot-PVÄ'!Y:Y,'tuot-PVÄ'!$A:$A,'tuot-rehukirjanpito'!$A42),0)</f>
        <v>0</v>
      </c>
      <c r="I42" s="206"/>
      <c r="J42" s="208"/>
    </row>
    <row r="43" spans="1:10" x14ac:dyDescent="0.25">
      <c r="A43" s="209"/>
      <c r="B43" s="208"/>
      <c r="C43" s="206"/>
      <c r="D43" s="207"/>
      <c r="E43" s="206"/>
      <c r="F43" s="208"/>
      <c r="G43" s="210">
        <f>ROUND(IF(SUMIFS('tuot-PVÄ'!X:X,'tuot-PVÄ'!$A:$A,'tuot-rehukirjanpito'!$A43)&lt;A43,A43,SUMIFS('tuot-PVÄ'!X:X,'tuot-PVÄ'!$A:$A,'tuot-rehukirjanpito'!$A43)),0)</f>
        <v>0</v>
      </c>
      <c r="H43" s="210">
        <f>ROUND(SUMIFS('tuot-PVÄ'!Y:Y,'tuot-PVÄ'!$A:$A,'tuot-rehukirjanpito'!$A43),0)</f>
        <v>0</v>
      </c>
      <c r="I43" s="206"/>
      <c r="J43" s="208"/>
    </row>
    <row r="44" spans="1:10" x14ac:dyDescent="0.25">
      <c r="A44" s="209"/>
      <c r="B44" s="208"/>
      <c r="C44" s="206"/>
      <c r="D44" s="207"/>
      <c r="E44" s="206"/>
      <c r="F44" s="208"/>
      <c r="G44" s="210">
        <f>ROUND(IF(SUMIFS('tuot-PVÄ'!X:X,'tuot-PVÄ'!$A:$A,'tuot-rehukirjanpito'!$A44)&lt;A44,A44,SUMIFS('tuot-PVÄ'!X:X,'tuot-PVÄ'!$A:$A,'tuot-rehukirjanpito'!$A44)),0)</f>
        <v>0</v>
      </c>
      <c r="H44" s="210">
        <f>ROUND(SUMIFS('tuot-PVÄ'!Y:Y,'tuot-PVÄ'!$A:$A,'tuot-rehukirjanpito'!$A44),0)</f>
        <v>0</v>
      </c>
      <c r="I44" s="206"/>
      <c r="J44" s="208"/>
    </row>
    <row r="45" spans="1:10" x14ac:dyDescent="0.25">
      <c r="A45" s="209"/>
      <c r="B45" s="208"/>
      <c r="C45" s="206"/>
      <c r="D45" s="207"/>
      <c r="E45" s="206"/>
      <c r="F45" s="208"/>
      <c r="G45" s="210">
        <f>ROUND(IF(SUMIFS('tuot-PVÄ'!X:X,'tuot-PVÄ'!$A:$A,'tuot-rehukirjanpito'!$A45)&lt;A45,A45,SUMIFS('tuot-PVÄ'!X:X,'tuot-PVÄ'!$A:$A,'tuot-rehukirjanpito'!$A45)),0)</f>
        <v>0</v>
      </c>
      <c r="H45" s="210">
        <f>ROUND(SUMIFS('tuot-PVÄ'!Y:Y,'tuot-PVÄ'!$A:$A,'tuot-rehukirjanpito'!$A45),0)</f>
        <v>0</v>
      </c>
      <c r="I45" s="206"/>
      <c r="J45" s="208"/>
    </row>
    <row r="46" spans="1:10" x14ac:dyDescent="0.25">
      <c r="A46" s="209"/>
      <c r="B46" s="208"/>
      <c r="C46" s="206"/>
      <c r="D46" s="207"/>
      <c r="E46" s="206"/>
      <c r="F46" s="208"/>
      <c r="G46" s="210">
        <f>ROUND(IF(SUMIFS('tuot-PVÄ'!X:X,'tuot-PVÄ'!$A:$A,'tuot-rehukirjanpito'!$A46)&lt;A46,A46,SUMIFS('tuot-PVÄ'!X:X,'tuot-PVÄ'!$A:$A,'tuot-rehukirjanpito'!$A46)),0)</f>
        <v>0</v>
      </c>
      <c r="H46" s="210">
        <f>ROUND(SUMIFS('tuot-PVÄ'!Y:Y,'tuot-PVÄ'!$A:$A,'tuot-rehukirjanpito'!$A46),0)</f>
        <v>0</v>
      </c>
      <c r="I46" s="206"/>
      <c r="J46" s="208"/>
    </row>
    <row r="47" spans="1:10" x14ac:dyDescent="0.25">
      <c r="A47" s="209"/>
      <c r="B47" s="208"/>
      <c r="C47" s="206"/>
      <c r="D47" s="207"/>
      <c r="E47" s="206"/>
      <c r="F47" s="208"/>
      <c r="G47" s="210">
        <f>ROUND(IF(SUMIFS('tuot-PVÄ'!X:X,'tuot-PVÄ'!$A:$A,'tuot-rehukirjanpito'!$A47)&lt;A47,A47,SUMIFS('tuot-PVÄ'!X:X,'tuot-PVÄ'!$A:$A,'tuot-rehukirjanpito'!$A47)),0)</f>
        <v>0</v>
      </c>
      <c r="H47" s="210">
        <f>ROUND(SUMIFS('tuot-PVÄ'!Y:Y,'tuot-PVÄ'!$A:$A,'tuot-rehukirjanpito'!$A47),0)</f>
        <v>0</v>
      </c>
      <c r="I47" s="206"/>
      <c r="J47" s="208"/>
    </row>
    <row r="48" spans="1:10" x14ac:dyDescent="0.25">
      <c r="A48" s="209"/>
      <c r="B48" s="208"/>
      <c r="C48" s="206"/>
      <c r="D48" s="207"/>
      <c r="E48" s="206"/>
      <c r="F48" s="208"/>
      <c r="G48" s="210">
        <f>ROUND(IF(SUMIFS('tuot-PVÄ'!X:X,'tuot-PVÄ'!$A:$A,'tuot-rehukirjanpito'!$A48)&lt;A48,A48,SUMIFS('tuot-PVÄ'!X:X,'tuot-PVÄ'!$A:$A,'tuot-rehukirjanpito'!$A48)),0)</f>
        <v>0</v>
      </c>
      <c r="H48" s="210">
        <f>ROUND(SUMIFS('tuot-PVÄ'!Y:Y,'tuot-PVÄ'!$A:$A,'tuot-rehukirjanpito'!$A48),0)</f>
        <v>0</v>
      </c>
      <c r="I48" s="206"/>
      <c r="J48" s="208"/>
    </row>
    <row r="49" spans="1:10" x14ac:dyDescent="0.25">
      <c r="A49" s="209"/>
      <c r="B49" s="208"/>
      <c r="C49" s="206"/>
      <c r="D49" s="207"/>
      <c r="E49" s="206"/>
      <c r="F49" s="208"/>
      <c r="G49" s="210">
        <f>ROUND(IF(SUMIFS('tuot-PVÄ'!X:X,'tuot-PVÄ'!$A:$A,'tuot-rehukirjanpito'!$A49)&lt;A49,A49,SUMIFS('tuot-PVÄ'!X:X,'tuot-PVÄ'!$A:$A,'tuot-rehukirjanpito'!$A49)),0)</f>
        <v>0</v>
      </c>
      <c r="H49" s="210">
        <f>ROUND(SUMIFS('tuot-PVÄ'!Y:Y,'tuot-PVÄ'!$A:$A,'tuot-rehukirjanpito'!$A49),0)</f>
        <v>0</v>
      </c>
      <c r="I49" s="206"/>
      <c r="J49" s="208"/>
    </row>
    <row r="50" spans="1:10" x14ac:dyDescent="0.25">
      <c r="A50" s="209"/>
      <c r="B50" s="208"/>
      <c r="C50" s="206"/>
      <c r="D50" s="207"/>
      <c r="E50" s="206"/>
      <c r="F50" s="208"/>
      <c r="G50" s="210">
        <f>ROUND(IF(SUMIFS('tuot-PVÄ'!X:X,'tuot-PVÄ'!$A:$A,'tuot-rehukirjanpito'!$A50)&lt;A50,A50,SUMIFS('tuot-PVÄ'!X:X,'tuot-PVÄ'!$A:$A,'tuot-rehukirjanpito'!$A50)),0)</f>
        <v>0</v>
      </c>
      <c r="H50" s="210">
        <f>ROUND(SUMIFS('tuot-PVÄ'!Y:Y,'tuot-PVÄ'!$A:$A,'tuot-rehukirjanpito'!$A50),0)</f>
        <v>0</v>
      </c>
      <c r="I50" s="206"/>
      <c r="J50" s="208"/>
    </row>
    <row r="51" spans="1:10" x14ac:dyDescent="0.25">
      <c r="A51" s="209"/>
      <c r="B51" s="208"/>
      <c r="C51" s="206"/>
      <c r="D51" s="207"/>
      <c r="E51" s="206"/>
      <c r="F51" s="208"/>
      <c r="G51" s="210">
        <f>ROUND(IF(SUMIFS('tuot-PVÄ'!X:X,'tuot-PVÄ'!$A:$A,'tuot-rehukirjanpito'!$A51)&lt;A51,A51,SUMIFS('tuot-PVÄ'!X:X,'tuot-PVÄ'!$A:$A,'tuot-rehukirjanpito'!$A51)),0)</f>
        <v>0</v>
      </c>
      <c r="H51" s="210">
        <f>ROUND(SUMIFS('tuot-PVÄ'!Y:Y,'tuot-PVÄ'!$A:$A,'tuot-rehukirjanpito'!$A51),0)</f>
        <v>0</v>
      </c>
      <c r="I51" s="206"/>
      <c r="J51" s="208"/>
    </row>
    <row r="52" spans="1:10" x14ac:dyDescent="0.25">
      <c r="A52" s="209"/>
      <c r="B52" s="208"/>
      <c r="C52" s="206"/>
      <c r="D52" s="207"/>
      <c r="E52" s="206"/>
      <c r="F52" s="208"/>
      <c r="G52" s="210">
        <f>ROUND(IF(SUMIFS('tuot-PVÄ'!X:X,'tuot-PVÄ'!$A:$A,'tuot-rehukirjanpito'!$A52)&lt;A52,A52,SUMIFS('tuot-PVÄ'!X:X,'tuot-PVÄ'!$A:$A,'tuot-rehukirjanpito'!$A52)),0)</f>
        <v>0</v>
      </c>
      <c r="H52" s="210">
        <f>ROUND(SUMIFS('tuot-PVÄ'!Y:Y,'tuot-PVÄ'!$A:$A,'tuot-rehukirjanpito'!$A52),0)</f>
        <v>0</v>
      </c>
      <c r="I52" s="206"/>
      <c r="J52" s="208"/>
    </row>
    <row r="53" spans="1:10" x14ac:dyDescent="0.25">
      <c r="A53" s="209"/>
      <c r="B53" s="208"/>
      <c r="C53" s="206"/>
      <c r="D53" s="207"/>
      <c r="E53" s="206"/>
      <c r="F53" s="208"/>
      <c r="G53" s="210">
        <f>ROUND(IF(SUMIFS('tuot-PVÄ'!X:X,'tuot-PVÄ'!$A:$A,'tuot-rehukirjanpito'!$A53)&lt;A53,A53,SUMIFS('tuot-PVÄ'!X:X,'tuot-PVÄ'!$A:$A,'tuot-rehukirjanpito'!$A53)),0)</f>
        <v>0</v>
      </c>
      <c r="H53" s="210">
        <f>ROUND(SUMIFS('tuot-PVÄ'!Y:Y,'tuot-PVÄ'!$A:$A,'tuot-rehukirjanpito'!$A53),0)</f>
        <v>0</v>
      </c>
      <c r="I53" s="206"/>
      <c r="J53" s="208"/>
    </row>
    <row r="54" spans="1:10" x14ac:dyDescent="0.25">
      <c r="A54" s="209"/>
      <c r="B54" s="208"/>
      <c r="C54" s="206"/>
      <c r="D54" s="207"/>
      <c r="E54" s="206"/>
      <c r="F54" s="208"/>
      <c r="G54" s="210">
        <f>ROUND(IF(SUMIFS('tuot-PVÄ'!X:X,'tuot-PVÄ'!$A:$A,'tuot-rehukirjanpito'!$A54)&lt;A54,A54,SUMIFS('tuot-PVÄ'!X:X,'tuot-PVÄ'!$A:$A,'tuot-rehukirjanpito'!$A54)),0)</f>
        <v>0</v>
      </c>
      <c r="H54" s="210">
        <f>ROUND(SUMIFS('tuot-PVÄ'!Y:Y,'tuot-PVÄ'!$A:$A,'tuot-rehukirjanpito'!$A54),0)</f>
        <v>0</v>
      </c>
      <c r="I54" s="206"/>
      <c r="J54" s="208"/>
    </row>
    <row r="55" spans="1:10" x14ac:dyDescent="0.25">
      <c r="A55" s="209"/>
      <c r="B55" s="208"/>
      <c r="C55" s="206"/>
      <c r="D55" s="207"/>
      <c r="E55" s="206"/>
      <c r="F55" s="208"/>
      <c r="G55" s="210">
        <f>ROUND(IF(SUMIFS('tuot-PVÄ'!X:X,'tuot-PVÄ'!$A:$A,'tuot-rehukirjanpito'!$A55)&lt;A55,A55,SUMIFS('tuot-PVÄ'!X:X,'tuot-PVÄ'!$A:$A,'tuot-rehukirjanpito'!$A55)),0)</f>
        <v>0</v>
      </c>
      <c r="H55" s="210">
        <f>ROUND(SUMIFS('tuot-PVÄ'!Y:Y,'tuot-PVÄ'!$A:$A,'tuot-rehukirjanpito'!$A55),0)</f>
        <v>0</v>
      </c>
      <c r="I55" s="206"/>
      <c r="J55" s="208"/>
    </row>
    <row r="56" spans="1:10" x14ac:dyDescent="0.25">
      <c r="A56" s="209"/>
      <c r="B56" s="208"/>
      <c r="C56" s="206"/>
      <c r="D56" s="207"/>
      <c r="E56" s="206"/>
      <c r="F56" s="208"/>
      <c r="G56" s="210">
        <f>ROUND(IF(SUMIFS('tuot-PVÄ'!X:X,'tuot-PVÄ'!$A:$A,'tuot-rehukirjanpito'!$A56)&lt;A56,A56,SUMIFS('tuot-PVÄ'!X:X,'tuot-PVÄ'!$A:$A,'tuot-rehukirjanpito'!$A56)),0)</f>
        <v>0</v>
      </c>
      <c r="H56" s="210">
        <f>ROUND(SUMIFS('tuot-PVÄ'!Y:Y,'tuot-PVÄ'!$A:$A,'tuot-rehukirjanpito'!$A56),0)</f>
        <v>0</v>
      </c>
      <c r="I56" s="206"/>
      <c r="J56" s="208"/>
    </row>
    <row r="57" spans="1:10" x14ac:dyDescent="0.25">
      <c r="A57" s="209"/>
      <c r="B57" s="208"/>
      <c r="C57" s="206"/>
      <c r="D57" s="207"/>
      <c r="E57" s="206"/>
      <c r="F57" s="208"/>
      <c r="G57" s="210">
        <f>ROUND(IF(SUMIFS('tuot-PVÄ'!X:X,'tuot-PVÄ'!$A:$A,'tuot-rehukirjanpito'!$A57)&lt;A57,A57,SUMIFS('tuot-PVÄ'!X:X,'tuot-PVÄ'!$A:$A,'tuot-rehukirjanpito'!$A57)),0)</f>
        <v>0</v>
      </c>
      <c r="H57" s="210">
        <f>ROUND(SUMIFS('tuot-PVÄ'!Y:Y,'tuot-PVÄ'!$A:$A,'tuot-rehukirjanpito'!$A57),0)</f>
        <v>0</v>
      </c>
      <c r="I57" s="206"/>
      <c r="J57" s="208"/>
    </row>
    <row r="58" spans="1:10" x14ac:dyDescent="0.25">
      <c r="A58" s="209"/>
      <c r="B58" s="208"/>
      <c r="C58" s="206"/>
      <c r="D58" s="207"/>
      <c r="E58" s="206"/>
      <c r="F58" s="208"/>
      <c r="G58" s="210">
        <f>ROUND(IF(SUMIFS('tuot-PVÄ'!X:X,'tuot-PVÄ'!$A:$A,'tuot-rehukirjanpito'!$A58)&lt;A58,A58,SUMIFS('tuot-PVÄ'!X:X,'tuot-PVÄ'!$A:$A,'tuot-rehukirjanpito'!$A58)),0)</f>
        <v>0</v>
      </c>
      <c r="H58" s="210">
        <f>ROUND(SUMIFS('tuot-PVÄ'!Y:Y,'tuot-PVÄ'!$A:$A,'tuot-rehukirjanpito'!$A58),0)</f>
        <v>0</v>
      </c>
      <c r="I58" s="206"/>
      <c r="J58" s="208"/>
    </row>
    <row r="59" spans="1:10" x14ac:dyDescent="0.25">
      <c r="A59" s="209"/>
      <c r="B59" s="208"/>
      <c r="C59" s="206"/>
      <c r="D59" s="207"/>
      <c r="E59" s="206"/>
      <c r="F59" s="208"/>
      <c r="G59" s="210">
        <f>ROUND(IF(SUMIFS('tuot-PVÄ'!X:X,'tuot-PVÄ'!$A:$A,'tuot-rehukirjanpito'!$A59)&lt;A59,A59,SUMIFS('tuot-PVÄ'!X:X,'tuot-PVÄ'!$A:$A,'tuot-rehukirjanpito'!$A59)),0)</f>
        <v>0</v>
      </c>
      <c r="H59" s="210">
        <f>ROUND(SUMIFS('tuot-PVÄ'!Y:Y,'tuot-PVÄ'!$A:$A,'tuot-rehukirjanpito'!$A59),0)</f>
        <v>0</v>
      </c>
      <c r="I59" s="206"/>
      <c r="J59" s="208"/>
    </row>
    <row r="60" spans="1:10" x14ac:dyDescent="0.25">
      <c r="A60" s="209"/>
      <c r="B60" s="208"/>
      <c r="C60" s="206"/>
      <c r="D60" s="207"/>
      <c r="E60" s="206"/>
      <c r="F60" s="208"/>
      <c r="G60" s="210">
        <f>ROUND(IF(SUMIFS('tuot-PVÄ'!X:X,'tuot-PVÄ'!$A:$A,'tuot-rehukirjanpito'!$A60)&lt;A60,A60,SUMIFS('tuot-PVÄ'!X:X,'tuot-PVÄ'!$A:$A,'tuot-rehukirjanpito'!$A60)),0)</f>
        <v>0</v>
      </c>
      <c r="H60" s="210">
        <f>ROUND(SUMIFS('tuot-PVÄ'!Y:Y,'tuot-PVÄ'!$A:$A,'tuot-rehukirjanpito'!$A60),0)</f>
        <v>0</v>
      </c>
      <c r="I60" s="206"/>
      <c r="J60" s="208"/>
    </row>
    <row r="61" spans="1:10" x14ac:dyDescent="0.25">
      <c r="A61" s="209"/>
      <c r="B61" s="208"/>
      <c r="C61" s="206"/>
      <c r="D61" s="207"/>
      <c r="E61" s="206"/>
      <c r="F61" s="208"/>
      <c r="G61" s="210">
        <f>ROUND(IF(SUMIFS('tuot-PVÄ'!X:X,'tuot-PVÄ'!$A:$A,'tuot-rehukirjanpito'!$A61)&lt;A61,A61,SUMIFS('tuot-PVÄ'!X:X,'tuot-PVÄ'!$A:$A,'tuot-rehukirjanpito'!$A61)),0)</f>
        <v>0</v>
      </c>
      <c r="H61" s="210">
        <f>ROUND(SUMIFS('tuot-PVÄ'!Y:Y,'tuot-PVÄ'!$A:$A,'tuot-rehukirjanpito'!$A61),0)</f>
        <v>0</v>
      </c>
      <c r="I61" s="206"/>
      <c r="J61" s="208"/>
    </row>
    <row r="62" spans="1:10" x14ac:dyDescent="0.25">
      <c r="A62" s="209"/>
      <c r="B62" s="208"/>
      <c r="C62" s="206"/>
      <c r="D62" s="207"/>
      <c r="E62" s="206"/>
      <c r="F62" s="208"/>
      <c r="G62" s="210">
        <f>ROUND(IF(SUMIFS('tuot-PVÄ'!X:X,'tuot-PVÄ'!$A:$A,'tuot-rehukirjanpito'!$A62)&lt;A62,A62,SUMIFS('tuot-PVÄ'!X:X,'tuot-PVÄ'!$A:$A,'tuot-rehukirjanpito'!$A62)),0)</f>
        <v>0</v>
      </c>
      <c r="H62" s="210">
        <f>ROUND(SUMIFS('tuot-PVÄ'!Y:Y,'tuot-PVÄ'!$A:$A,'tuot-rehukirjanpito'!$A62),0)</f>
        <v>0</v>
      </c>
      <c r="I62" s="206"/>
      <c r="J62" s="208"/>
    </row>
    <row r="63" spans="1:10" x14ac:dyDescent="0.25">
      <c r="A63" s="209"/>
      <c r="B63" s="208"/>
      <c r="C63" s="206"/>
      <c r="D63" s="207"/>
      <c r="E63" s="206"/>
      <c r="F63" s="208"/>
      <c r="G63" s="210">
        <f>ROUND(IF(SUMIFS('tuot-PVÄ'!X:X,'tuot-PVÄ'!$A:$A,'tuot-rehukirjanpito'!$A63)&lt;A63,A63,SUMIFS('tuot-PVÄ'!X:X,'tuot-PVÄ'!$A:$A,'tuot-rehukirjanpito'!$A63)),0)</f>
        <v>0</v>
      </c>
      <c r="H63" s="210">
        <f>ROUND(SUMIFS('tuot-PVÄ'!Y:Y,'tuot-PVÄ'!$A:$A,'tuot-rehukirjanpito'!$A63),0)</f>
        <v>0</v>
      </c>
      <c r="I63" s="206"/>
      <c r="J63" s="208"/>
    </row>
    <row r="64" spans="1:10" x14ac:dyDescent="0.25">
      <c r="A64" s="209"/>
      <c r="B64" s="208"/>
      <c r="C64" s="206"/>
      <c r="D64" s="207"/>
      <c r="E64" s="206"/>
      <c r="F64" s="208"/>
      <c r="G64" s="210">
        <f>ROUND(IF(SUMIFS('tuot-PVÄ'!X:X,'tuot-PVÄ'!$A:$A,'tuot-rehukirjanpito'!$A64)&lt;A64,A64,SUMIFS('tuot-PVÄ'!X:X,'tuot-PVÄ'!$A:$A,'tuot-rehukirjanpito'!$A64)),0)</f>
        <v>0</v>
      </c>
      <c r="H64" s="210">
        <f>ROUND(SUMIFS('tuot-PVÄ'!Y:Y,'tuot-PVÄ'!$A:$A,'tuot-rehukirjanpito'!$A64),0)</f>
        <v>0</v>
      </c>
      <c r="I64" s="206"/>
      <c r="J64" s="208"/>
    </row>
    <row r="65" spans="1:10" x14ac:dyDescent="0.25">
      <c r="A65" s="209"/>
      <c r="B65" s="208"/>
      <c r="C65" s="206"/>
      <c r="D65" s="207"/>
      <c r="E65" s="206"/>
      <c r="F65" s="208"/>
      <c r="G65" s="210">
        <f>ROUND(IF(SUMIFS('tuot-PVÄ'!X:X,'tuot-PVÄ'!$A:$A,'tuot-rehukirjanpito'!$A65)&lt;A65,A65,SUMIFS('tuot-PVÄ'!X:X,'tuot-PVÄ'!$A:$A,'tuot-rehukirjanpito'!$A65)),0)</f>
        <v>0</v>
      </c>
      <c r="H65" s="210">
        <f>ROUND(SUMIFS('tuot-PVÄ'!Y:Y,'tuot-PVÄ'!$A:$A,'tuot-rehukirjanpito'!$A65),0)</f>
        <v>0</v>
      </c>
      <c r="I65" s="206"/>
      <c r="J65" s="208"/>
    </row>
    <row r="66" spans="1:10" x14ac:dyDescent="0.25">
      <c r="A66" s="209"/>
      <c r="B66" s="208"/>
      <c r="C66" s="206"/>
      <c r="D66" s="207"/>
      <c r="E66" s="206"/>
      <c r="F66" s="208"/>
      <c r="G66" s="210">
        <f>ROUND(IF(SUMIFS('tuot-PVÄ'!X:X,'tuot-PVÄ'!$A:$A,'tuot-rehukirjanpito'!$A66)&lt;A66,A66,SUMIFS('tuot-PVÄ'!X:X,'tuot-PVÄ'!$A:$A,'tuot-rehukirjanpito'!$A66)),0)</f>
        <v>0</v>
      </c>
      <c r="H66" s="210">
        <f>ROUND(SUMIFS('tuot-PVÄ'!Y:Y,'tuot-PVÄ'!$A:$A,'tuot-rehukirjanpito'!$A66),0)</f>
        <v>0</v>
      </c>
      <c r="I66" s="206"/>
      <c r="J66" s="208"/>
    </row>
    <row r="67" spans="1:10" x14ac:dyDescent="0.25">
      <c r="A67" s="209"/>
      <c r="B67" s="208"/>
      <c r="C67" s="206"/>
      <c r="D67" s="207"/>
      <c r="E67" s="206"/>
      <c r="F67" s="208"/>
      <c r="G67" s="210">
        <f>ROUND(IF(SUMIFS('tuot-PVÄ'!X:X,'tuot-PVÄ'!$A:$A,'tuot-rehukirjanpito'!$A67)&lt;A67,A67,SUMIFS('tuot-PVÄ'!X:X,'tuot-PVÄ'!$A:$A,'tuot-rehukirjanpito'!$A67)),0)</f>
        <v>0</v>
      </c>
      <c r="H67" s="210">
        <f>ROUND(SUMIFS('tuot-PVÄ'!Y:Y,'tuot-PVÄ'!$A:$A,'tuot-rehukirjanpito'!$A67),0)</f>
        <v>0</v>
      </c>
      <c r="I67" s="206"/>
      <c r="J67" s="208"/>
    </row>
    <row r="68" spans="1:10" x14ac:dyDescent="0.25">
      <c r="A68" s="209"/>
      <c r="B68" s="208"/>
      <c r="C68" s="206"/>
      <c r="D68" s="207"/>
      <c r="E68" s="206"/>
      <c r="F68" s="208"/>
      <c r="G68" s="210">
        <f>ROUND(IF(SUMIFS('tuot-PVÄ'!X:X,'tuot-PVÄ'!$A:$A,'tuot-rehukirjanpito'!$A68)&lt;A68,A68,SUMIFS('tuot-PVÄ'!X:X,'tuot-PVÄ'!$A:$A,'tuot-rehukirjanpito'!$A68)),0)</f>
        <v>0</v>
      </c>
      <c r="H68" s="210">
        <f>ROUND(SUMIFS('tuot-PVÄ'!Y:Y,'tuot-PVÄ'!$A:$A,'tuot-rehukirjanpito'!$A68),0)</f>
        <v>0</v>
      </c>
      <c r="I68" s="206"/>
      <c r="J68" s="208"/>
    </row>
    <row r="69" spans="1:10" x14ac:dyDescent="0.25">
      <c r="A69" s="209"/>
      <c r="B69" s="208"/>
      <c r="C69" s="206"/>
      <c r="D69" s="207"/>
      <c r="E69" s="206"/>
      <c r="F69" s="208"/>
      <c r="G69" s="210">
        <f>ROUND(IF(SUMIFS('tuot-PVÄ'!X:X,'tuot-PVÄ'!$A:$A,'tuot-rehukirjanpito'!$A69)&lt;A69,A69,SUMIFS('tuot-PVÄ'!X:X,'tuot-PVÄ'!$A:$A,'tuot-rehukirjanpito'!$A69)),0)</f>
        <v>0</v>
      </c>
      <c r="H69" s="210">
        <f>ROUND(SUMIFS('tuot-PVÄ'!Y:Y,'tuot-PVÄ'!$A:$A,'tuot-rehukirjanpito'!$A69),0)</f>
        <v>0</v>
      </c>
      <c r="I69" s="206"/>
      <c r="J69" s="208"/>
    </row>
    <row r="70" spans="1:10" x14ac:dyDescent="0.25">
      <c r="A70" s="209"/>
      <c r="B70" s="208"/>
      <c r="C70" s="206"/>
      <c r="D70" s="207"/>
      <c r="E70" s="206"/>
      <c r="F70" s="208"/>
      <c r="G70" s="210">
        <f>ROUND(IF(SUMIFS('tuot-PVÄ'!X:X,'tuot-PVÄ'!$A:$A,'tuot-rehukirjanpito'!$A70)&lt;A70,A70,SUMIFS('tuot-PVÄ'!X:X,'tuot-PVÄ'!$A:$A,'tuot-rehukirjanpito'!$A70)),0)</f>
        <v>0</v>
      </c>
      <c r="H70" s="210">
        <f>ROUND(SUMIFS('tuot-PVÄ'!Y:Y,'tuot-PVÄ'!$A:$A,'tuot-rehukirjanpito'!$A70),0)</f>
        <v>0</v>
      </c>
      <c r="I70" s="206"/>
      <c r="J70" s="208"/>
    </row>
    <row r="71" spans="1:10" x14ac:dyDescent="0.25">
      <c r="A71" s="209"/>
      <c r="B71" s="208"/>
      <c r="C71" s="206"/>
      <c r="D71" s="207"/>
      <c r="E71" s="206"/>
      <c r="F71" s="208"/>
      <c r="G71" s="210">
        <f>ROUND(IF(SUMIFS('tuot-PVÄ'!X:X,'tuot-PVÄ'!$A:$A,'tuot-rehukirjanpito'!$A71)&lt;A71,A71,SUMIFS('tuot-PVÄ'!X:X,'tuot-PVÄ'!$A:$A,'tuot-rehukirjanpito'!$A71)),0)</f>
        <v>0</v>
      </c>
      <c r="H71" s="210">
        <f>ROUND(SUMIFS('tuot-PVÄ'!Y:Y,'tuot-PVÄ'!$A:$A,'tuot-rehukirjanpito'!$A71),0)</f>
        <v>0</v>
      </c>
      <c r="I71" s="206"/>
      <c r="J71" s="208"/>
    </row>
    <row r="72" spans="1:10" x14ac:dyDescent="0.25">
      <c r="A72" s="209"/>
      <c r="B72" s="208"/>
      <c r="C72" s="206"/>
      <c r="D72" s="207"/>
      <c r="E72" s="206"/>
      <c r="F72" s="208"/>
      <c r="G72" s="210">
        <f>ROUND(IF(SUMIFS('tuot-PVÄ'!X:X,'tuot-PVÄ'!$A:$A,'tuot-rehukirjanpito'!$A72)&lt;A72,A72,SUMIFS('tuot-PVÄ'!X:X,'tuot-PVÄ'!$A:$A,'tuot-rehukirjanpito'!$A72)),0)</f>
        <v>0</v>
      </c>
      <c r="H72" s="210">
        <f>ROUND(SUMIFS('tuot-PVÄ'!Y:Y,'tuot-PVÄ'!$A:$A,'tuot-rehukirjanpito'!$A72),0)</f>
        <v>0</v>
      </c>
      <c r="I72" s="206"/>
      <c r="J72" s="208"/>
    </row>
    <row r="73" spans="1:10" x14ac:dyDescent="0.25">
      <c r="A73" s="209"/>
      <c r="B73" s="208"/>
      <c r="C73" s="206"/>
      <c r="D73" s="207"/>
      <c r="E73" s="206"/>
      <c r="F73" s="208"/>
      <c r="G73" s="210">
        <f>ROUND(IF(SUMIFS('tuot-PVÄ'!X:X,'tuot-PVÄ'!$A:$A,'tuot-rehukirjanpito'!$A73)&lt;A73,A73,SUMIFS('tuot-PVÄ'!X:X,'tuot-PVÄ'!$A:$A,'tuot-rehukirjanpito'!$A73)),0)</f>
        <v>0</v>
      </c>
      <c r="H73" s="210">
        <f>ROUND(SUMIFS('tuot-PVÄ'!Y:Y,'tuot-PVÄ'!$A:$A,'tuot-rehukirjanpito'!$A73),0)</f>
        <v>0</v>
      </c>
      <c r="I73" s="206"/>
      <c r="J73" s="208"/>
    </row>
    <row r="74" spans="1:10" x14ac:dyDescent="0.25">
      <c r="A74" s="209"/>
      <c r="B74" s="208"/>
      <c r="C74" s="206"/>
      <c r="D74" s="207"/>
      <c r="E74" s="206"/>
      <c r="F74" s="208"/>
      <c r="G74" s="210">
        <f>ROUND(IF(SUMIFS('tuot-PVÄ'!X:X,'tuot-PVÄ'!$A:$A,'tuot-rehukirjanpito'!$A74)&lt;A74,A74,SUMIFS('tuot-PVÄ'!X:X,'tuot-PVÄ'!$A:$A,'tuot-rehukirjanpito'!$A74)),0)</f>
        <v>0</v>
      </c>
      <c r="H74" s="210">
        <f>ROUND(SUMIFS('tuot-PVÄ'!Y:Y,'tuot-PVÄ'!$A:$A,'tuot-rehukirjanpito'!$A74),0)</f>
        <v>0</v>
      </c>
      <c r="I74" s="206"/>
      <c r="J74" s="208"/>
    </row>
    <row r="75" spans="1:10" x14ac:dyDescent="0.25">
      <c r="A75" s="209"/>
      <c r="B75" s="208"/>
      <c r="C75" s="206"/>
      <c r="D75" s="207"/>
      <c r="E75" s="206"/>
      <c r="F75" s="208"/>
      <c r="G75" s="210">
        <f>ROUND(IF(SUMIFS('tuot-PVÄ'!X:X,'tuot-PVÄ'!$A:$A,'tuot-rehukirjanpito'!$A75)&lt;A75,A75,SUMIFS('tuot-PVÄ'!X:X,'tuot-PVÄ'!$A:$A,'tuot-rehukirjanpito'!$A75)),0)</f>
        <v>0</v>
      </c>
      <c r="H75" s="210">
        <f>ROUND(SUMIFS('tuot-PVÄ'!Y:Y,'tuot-PVÄ'!$A:$A,'tuot-rehukirjanpito'!$A75),0)</f>
        <v>0</v>
      </c>
      <c r="I75" s="206"/>
      <c r="J75" s="208"/>
    </row>
    <row r="76" spans="1:10" x14ac:dyDescent="0.25">
      <c r="A76" s="209"/>
      <c r="B76" s="208"/>
      <c r="C76" s="206"/>
      <c r="D76" s="207"/>
      <c r="E76" s="206"/>
      <c r="F76" s="208"/>
      <c r="G76" s="210">
        <f>ROUND(IF(SUMIFS('tuot-PVÄ'!X:X,'tuot-PVÄ'!$A:$A,'tuot-rehukirjanpito'!$A76)&lt;A76,A76,SUMIFS('tuot-PVÄ'!X:X,'tuot-PVÄ'!$A:$A,'tuot-rehukirjanpito'!$A76)),0)</f>
        <v>0</v>
      </c>
      <c r="H76" s="210">
        <f>ROUND(SUMIFS('tuot-PVÄ'!Y:Y,'tuot-PVÄ'!$A:$A,'tuot-rehukirjanpito'!$A76),0)</f>
        <v>0</v>
      </c>
      <c r="I76" s="206"/>
      <c r="J76" s="208"/>
    </row>
    <row r="77" spans="1:10" x14ac:dyDescent="0.25">
      <c r="A77" s="209"/>
      <c r="B77" s="208"/>
      <c r="C77" s="206"/>
      <c r="D77" s="207"/>
      <c r="E77" s="206"/>
      <c r="F77" s="208"/>
      <c r="G77" s="210">
        <f>ROUND(IF(SUMIFS('tuot-PVÄ'!X:X,'tuot-PVÄ'!$A:$A,'tuot-rehukirjanpito'!$A77)&lt;A77,A77,SUMIFS('tuot-PVÄ'!X:X,'tuot-PVÄ'!$A:$A,'tuot-rehukirjanpito'!$A77)),0)</f>
        <v>0</v>
      </c>
      <c r="H77" s="210">
        <f>ROUND(SUMIFS('tuot-PVÄ'!Y:Y,'tuot-PVÄ'!$A:$A,'tuot-rehukirjanpito'!$A77),0)</f>
        <v>0</v>
      </c>
      <c r="I77" s="206"/>
      <c r="J77" s="208"/>
    </row>
    <row r="78" spans="1:10" x14ac:dyDescent="0.25">
      <c r="A78" s="209"/>
      <c r="B78" s="208"/>
      <c r="C78" s="206"/>
      <c r="D78" s="207"/>
      <c r="E78" s="206"/>
      <c r="F78" s="208"/>
      <c r="G78" s="210">
        <f>ROUND(IF(SUMIFS('tuot-PVÄ'!X:X,'tuot-PVÄ'!$A:$A,'tuot-rehukirjanpito'!$A78)&lt;A78,A78,SUMIFS('tuot-PVÄ'!X:X,'tuot-PVÄ'!$A:$A,'tuot-rehukirjanpito'!$A78)),0)</f>
        <v>0</v>
      </c>
      <c r="H78" s="210">
        <f>ROUND(SUMIFS('tuot-PVÄ'!Y:Y,'tuot-PVÄ'!$A:$A,'tuot-rehukirjanpito'!$A78),0)</f>
        <v>0</v>
      </c>
      <c r="I78" s="206"/>
      <c r="J78" s="208"/>
    </row>
    <row r="79" spans="1:10" x14ac:dyDescent="0.25">
      <c r="A79" s="209"/>
      <c r="B79" s="208"/>
      <c r="C79" s="206"/>
      <c r="D79" s="207"/>
      <c r="E79" s="206"/>
      <c r="F79" s="208"/>
      <c r="G79" s="210">
        <f>ROUND(IF(SUMIFS('tuot-PVÄ'!X:X,'tuot-PVÄ'!$A:$A,'tuot-rehukirjanpito'!$A79)&lt;A79,A79,SUMIFS('tuot-PVÄ'!X:X,'tuot-PVÄ'!$A:$A,'tuot-rehukirjanpito'!$A79)),0)</f>
        <v>0</v>
      </c>
      <c r="H79" s="210">
        <f>ROUND(SUMIFS('tuot-PVÄ'!Y:Y,'tuot-PVÄ'!$A:$A,'tuot-rehukirjanpito'!$A79),0)</f>
        <v>0</v>
      </c>
      <c r="I79" s="206"/>
      <c r="J79" s="208"/>
    </row>
    <row r="80" spans="1:10" x14ac:dyDescent="0.25">
      <c r="A80" s="209"/>
      <c r="B80" s="208"/>
      <c r="C80" s="206"/>
      <c r="D80" s="207"/>
      <c r="E80" s="206"/>
      <c r="F80" s="208"/>
      <c r="G80" s="210">
        <f>ROUND(IF(SUMIFS('tuot-PVÄ'!X:X,'tuot-PVÄ'!$A:$A,'tuot-rehukirjanpito'!$A80)&lt;A80,A80,SUMIFS('tuot-PVÄ'!X:X,'tuot-PVÄ'!$A:$A,'tuot-rehukirjanpito'!$A80)),0)</f>
        <v>0</v>
      </c>
      <c r="H80" s="210">
        <f>ROUND(SUMIFS('tuot-PVÄ'!Y:Y,'tuot-PVÄ'!$A:$A,'tuot-rehukirjanpito'!$A80),0)</f>
        <v>0</v>
      </c>
      <c r="I80" s="206"/>
      <c r="J80" s="208"/>
    </row>
    <row r="81" spans="1:10" x14ac:dyDescent="0.25">
      <c r="A81" s="209"/>
      <c r="B81" s="208"/>
      <c r="C81" s="206"/>
      <c r="D81" s="207"/>
      <c r="E81" s="206"/>
      <c r="F81" s="208"/>
      <c r="G81" s="210">
        <f>ROUND(IF(SUMIFS('tuot-PVÄ'!X:X,'tuot-PVÄ'!$A:$A,'tuot-rehukirjanpito'!$A81)&lt;A81,A81,SUMIFS('tuot-PVÄ'!X:X,'tuot-PVÄ'!$A:$A,'tuot-rehukirjanpito'!$A81)),0)</f>
        <v>0</v>
      </c>
      <c r="H81" s="210">
        <f>ROUND(SUMIFS('tuot-PVÄ'!Y:Y,'tuot-PVÄ'!$A:$A,'tuot-rehukirjanpito'!$A81),0)</f>
        <v>0</v>
      </c>
      <c r="I81" s="206"/>
      <c r="J81" s="208"/>
    </row>
    <row r="82" spans="1:10" x14ac:dyDescent="0.25">
      <c r="A82" s="209"/>
      <c r="B82" s="208"/>
      <c r="C82" s="206"/>
      <c r="D82" s="207"/>
      <c r="E82" s="206"/>
      <c r="F82" s="208"/>
      <c r="G82" s="210">
        <f>ROUND(IF(SUMIFS('tuot-PVÄ'!X:X,'tuot-PVÄ'!$A:$A,'tuot-rehukirjanpito'!$A82)&lt;A82,A82,SUMIFS('tuot-PVÄ'!X:X,'tuot-PVÄ'!$A:$A,'tuot-rehukirjanpito'!$A82)),0)</f>
        <v>0</v>
      </c>
      <c r="H82" s="210">
        <f>ROUND(SUMIFS('tuot-PVÄ'!Y:Y,'tuot-PVÄ'!$A:$A,'tuot-rehukirjanpito'!$A82),0)</f>
        <v>0</v>
      </c>
      <c r="I82" s="206"/>
      <c r="J82" s="208"/>
    </row>
    <row r="83" spans="1:10" x14ac:dyDescent="0.25">
      <c r="A83" s="209"/>
      <c r="B83" s="208"/>
      <c r="C83" s="206"/>
      <c r="D83" s="207"/>
      <c r="E83" s="206"/>
      <c r="F83" s="208"/>
      <c r="G83" s="210">
        <f>ROUND(IF(SUMIFS('tuot-PVÄ'!X:X,'tuot-PVÄ'!$A:$A,'tuot-rehukirjanpito'!$A83)&lt;A83,A83,SUMIFS('tuot-PVÄ'!X:X,'tuot-PVÄ'!$A:$A,'tuot-rehukirjanpito'!$A83)),0)</f>
        <v>0</v>
      </c>
      <c r="H83" s="210">
        <f>ROUND(SUMIFS('tuot-PVÄ'!Y:Y,'tuot-PVÄ'!$A:$A,'tuot-rehukirjanpito'!$A83),0)</f>
        <v>0</v>
      </c>
      <c r="I83" s="206"/>
      <c r="J83" s="208"/>
    </row>
    <row r="84" spans="1:10" x14ac:dyDescent="0.25">
      <c r="A84" s="209"/>
      <c r="B84" s="208"/>
      <c r="C84" s="206"/>
      <c r="D84" s="207"/>
      <c r="E84" s="206"/>
      <c r="F84" s="208"/>
      <c r="G84" s="210">
        <f>ROUND(IF(SUMIFS('tuot-PVÄ'!X:X,'tuot-PVÄ'!$A:$A,'tuot-rehukirjanpito'!$A84)&lt;A84,A84,SUMIFS('tuot-PVÄ'!X:X,'tuot-PVÄ'!$A:$A,'tuot-rehukirjanpito'!$A84)),0)</f>
        <v>0</v>
      </c>
      <c r="H84" s="210">
        <f>ROUND(SUMIFS('tuot-PVÄ'!Y:Y,'tuot-PVÄ'!$A:$A,'tuot-rehukirjanpito'!$A84),0)</f>
        <v>0</v>
      </c>
      <c r="I84" s="206"/>
      <c r="J84" s="208"/>
    </row>
    <row r="85" spans="1:10" x14ac:dyDescent="0.25">
      <c r="A85" s="209"/>
      <c r="B85" s="208"/>
      <c r="C85" s="206"/>
      <c r="D85" s="207"/>
      <c r="E85" s="206"/>
      <c r="F85" s="208"/>
      <c r="G85" s="210">
        <f>ROUND(IF(SUMIFS('tuot-PVÄ'!X:X,'tuot-PVÄ'!$A:$A,'tuot-rehukirjanpito'!$A85)&lt;A85,A85,SUMIFS('tuot-PVÄ'!X:X,'tuot-PVÄ'!$A:$A,'tuot-rehukirjanpito'!$A85)),0)</f>
        <v>0</v>
      </c>
      <c r="H85" s="210">
        <f>ROUND(SUMIFS('tuot-PVÄ'!Y:Y,'tuot-PVÄ'!$A:$A,'tuot-rehukirjanpito'!$A85),0)</f>
        <v>0</v>
      </c>
      <c r="I85" s="206"/>
      <c r="J85" s="208"/>
    </row>
    <row r="86" spans="1:10" x14ac:dyDescent="0.25">
      <c r="A86" s="209"/>
      <c r="B86" s="208"/>
      <c r="C86" s="206"/>
      <c r="D86" s="207"/>
      <c r="E86" s="206"/>
      <c r="F86" s="208"/>
      <c r="G86" s="210">
        <f>ROUND(IF(SUMIFS('tuot-PVÄ'!X:X,'tuot-PVÄ'!$A:$A,'tuot-rehukirjanpito'!$A86)&lt;A86,A86,SUMIFS('tuot-PVÄ'!X:X,'tuot-PVÄ'!$A:$A,'tuot-rehukirjanpito'!$A86)),0)</f>
        <v>0</v>
      </c>
      <c r="H86" s="210">
        <f>ROUND(SUMIFS('tuot-PVÄ'!Y:Y,'tuot-PVÄ'!$A:$A,'tuot-rehukirjanpito'!$A86),0)</f>
        <v>0</v>
      </c>
      <c r="I86" s="206"/>
      <c r="J86" s="208"/>
    </row>
    <row r="87" spans="1:10" x14ac:dyDescent="0.25">
      <c r="A87" s="209"/>
      <c r="B87" s="208"/>
      <c r="C87" s="206"/>
      <c r="D87" s="207"/>
      <c r="E87" s="206"/>
      <c r="F87" s="208"/>
      <c r="G87" s="210">
        <f>ROUND(IF(SUMIFS('tuot-PVÄ'!X:X,'tuot-PVÄ'!$A:$A,'tuot-rehukirjanpito'!$A87)&lt;A87,A87,SUMIFS('tuot-PVÄ'!X:X,'tuot-PVÄ'!$A:$A,'tuot-rehukirjanpito'!$A87)),0)</f>
        <v>0</v>
      </c>
      <c r="H87" s="210">
        <f>ROUND(SUMIFS('tuot-PVÄ'!Y:Y,'tuot-PVÄ'!$A:$A,'tuot-rehukirjanpito'!$A87),0)</f>
        <v>0</v>
      </c>
      <c r="I87" s="206"/>
      <c r="J87" s="208"/>
    </row>
    <row r="88" spans="1:10" x14ac:dyDescent="0.25">
      <c r="A88" s="209"/>
      <c r="B88" s="208"/>
      <c r="C88" s="206"/>
      <c r="D88" s="207"/>
      <c r="E88" s="206"/>
      <c r="F88" s="208"/>
      <c r="G88" s="210">
        <f>ROUND(IF(SUMIFS('tuot-PVÄ'!X:X,'tuot-PVÄ'!$A:$A,'tuot-rehukirjanpito'!$A88)&lt;A88,A88,SUMIFS('tuot-PVÄ'!X:X,'tuot-PVÄ'!$A:$A,'tuot-rehukirjanpito'!$A88)),0)</f>
        <v>0</v>
      </c>
      <c r="H88" s="210">
        <f>ROUND(SUMIFS('tuot-PVÄ'!Y:Y,'tuot-PVÄ'!$A:$A,'tuot-rehukirjanpito'!$A88),0)</f>
        <v>0</v>
      </c>
      <c r="I88" s="206"/>
      <c r="J88" s="208"/>
    </row>
    <row r="89" spans="1:10" x14ac:dyDescent="0.25">
      <c r="A89" s="209"/>
      <c r="B89" s="208"/>
      <c r="C89" s="206"/>
      <c r="D89" s="207"/>
      <c r="E89" s="206"/>
      <c r="F89" s="208"/>
      <c r="G89" s="210">
        <f>ROUND(IF(SUMIFS('tuot-PVÄ'!X:X,'tuot-PVÄ'!$A:$A,'tuot-rehukirjanpito'!$A89)&lt;A89,A89,SUMIFS('tuot-PVÄ'!X:X,'tuot-PVÄ'!$A:$A,'tuot-rehukirjanpito'!$A89)),0)</f>
        <v>0</v>
      </c>
      <c r="H89" s="210">
        <f>ROUND(SUMIFS('tuot-PVÄ'!Y:Y,'tuot-PVÄ'!$A:$A,'tuot-rehukirjanpito'!$A89),0)</f>
        <v>0</v>
      </c>
      <c r="I89" s="206"/>
      <c r="J89" s="208"/>
    </row>
    <row r="90" spans="1:10" x14ac:dyDescent="0.25">
      <c r="A90" s="209"/>
      <c r="B90" s="208"/>
      <c r="C90" s="206"/>
      <c r="D90" s="207"/>
      <c r="E90" s="206"/>
      <c r="F90" s="208"/>
      <c r="G90" s="210">
        <f>ROUND(IF(SUMIFS('tuot-PVÄ'!X:X,'tuot-PVÄ'!$A:$A,'tuot-rehukirjanpito'!$A90)&lt;A90,A90,SUMIFS('tuot-PVÄ'!X:X,'tuot-PVÄ'!$A:$A,'tuot-rehukirjanpito'!$A90)),0)</f>
        <v>0</v>
      </c>
      <c r="H90" s="210">
        <f>ROUND(SUMIFS('tuot-PVÄ'!Y:Y,'tuot-PVÄ'!$A:$A,'tuot-rehukirjanpito'!$A90),0)</f>
        <v>0</v>
      </c>
      <c r="I90" s="206"/>
      <c r="J90" s="208"/>
    </row>
    <row r="91" spans="1:10" x14ac:dyDescent="0.25">
      <c r="A91" s="209"/>
      <c r="B91" s="208"/>
      <c r="C91" s="206"/>
      <c r="D91" s="207"/>
      <c r="E91" s="206"/>
      <c r="F91" s="208"/>
      <c r="G91" s="210">
        <f>ROUND(IF(SUMIFS('tuot-PVÄ'!X:X,'tuot-PVÄ'!$A:$A,'tuot-rehukirjanpito'!$A91)&lt;A91,A91,SUMIFS('tuot-PVÄ'!X:X,'tuot-PVÄ'!$A:$A,'tuot-rehukirjanpito'!$A91)),0)</f>
        <v>0</v>
      </c>
      <c r="H91" s="210">
        <f>ROUND(SUMIFS('tuot-PVÄ'!Y:Y,'tuot-PVÄ'!$A:$A,'tuot-rehukirjanpito'!$A91),0)</f>
        <v>0</v>
      </c>
      <c r="I91" s="206"/>
      <c r="J91" s="208"/>
    </row>
    <row r="92" spans="1:10" x14ac:dyDescent="0.25">
      <c r="A92" s="209"/>
      <c r="B92" s="208"/>
      <c r="C92" s="206"/>
      <c r="D92" s="207"/>
      <c r="E92" s="206"/>
      <c r="F92" s="208"/>
      <c r="G92" s="210">
        <f>ROUND(IF(SUMIFS('tuot-PVÄ'!X:X,'tuot-PVÄ'!$A:$A,'tuot-rehukirjanpito'!$A92)&lt;A92,A92,SUMIFS('tuot-PVÄ'!X:X,'tuot-PVÄ'!$A:$A,'tuot-rehukirjanpito'!$A92)),0)</f>
        <v>0</v>
      </c>
      <c r="H92" s="210">
        <f>ROUND(SUMIFS('tuot-PVÄ'!Y:Y,'tuot-PVÄ'!$A:$A,'tuot-rehukirjanpito'!$A92),0)</f>
        <v>0</v>
      </c>
      <c r="I92" s="206"/>
      <c r="J92" s="208"/>
    </row>
    <row r="93" spans="1:10" x14ac:dyDescent="0.25">
      <c r="A93" s="209"/>
      <c r="B93" s="208"/>
      <c r="C93" s="206"/>
      <c r="D93" s="207"/>
      <c r="E93" s="206"/>
      <c r="F93" s="208"/>
      <c r="G93" s="210">
        <f>ROUND(IF(SUMIFS('tuot-PVÄ'!X:X,'tuot-PVÄ'!$A:$A,'tuot-rehukirjanpito'!$A93)&lt;A93,A93,SUMIFS('tuot-PVÄ'!X:X,'tuot-PVÄ'!$A:$A,'tuot-rehukirjanpito'!$A93)),0)</f>
        <v>0</v>
      </c>
      <c r="H93" s="210">
        <f>ROUND(SUMIFS('tuot-PVÄ'!Y:Y,'tuot-PVÄ'!$A:$A,'tuot-rehukirjanpito'!$A93),0)</f>
        <v>0</v>
      </c>
      <c r="I93" s="206"/>
      <c r="J93" s="208"/>
    </row>
    <row r="94" spans="1:10" x14ac:dyDescent="0.25">
      <c r="A94" s="209"/>
      <c r="B94" s="208"/>
      <c r="C94" s="206"/>
      <c r="D94" s="207"/>
      <c r="E94" s="206"/>
      <c r="F94" s="208"/>
      <c r="G94" s="210">
        <f>ROUND(IF(SUMIFS('tuot-PVÄ'!X:X,'tuot-PVÄ'!$A:$A,'tuot-rehukirjanpito'!$A94)&lt;A94,A94,SUMIFS('tuot-PVÄ'!X:X,'tuot-PVÄ'!$A:$A,'tuot-rehukirjanpito'!$A94)),0)</f>
        <v>0</v>
      </c>
      <c r="H94" s="210">
        <f>ROUND(SUMIFS('tuot-PVÄ'!Y:Y,'tuot-PVÄ'!$A:$A,'tuot-rehukirjanpito'!$A94),0)</f>
        <v>0</v>
      </c>
      <c r="I94" s="206"/>
      <c r="J94" s="208"/>
    </row>
    <row r="95" spans="1:10" x14ac:dyDescent="0.25">
      <c r="A95" s="209"/>
      <c r="B95" s="208"/>
      <c r="C95" s="206"/>
      <c r="D95" s="207"/>
      <c r="E95" s="206"/>
      <c r="F95" s="208"/>
      <c r="G95" s="210">
        <f>ROUND(IF(SUMIFS('tuot-PVÄ'!X:X,'tuot-PVÄ'!$A:$A,'tuot-rehukirjanpito'!$A95)&lt;A95,A95,SUMIFS('tuot-PVÄ'!X:X,'tuot-PVÄ'!$A:$A,'tuot-rehukirjanpito'!$A95)),0)</f>
        <v>0</v>
      </c>
      <c r="H95" s="210">
        <f>ROUND(SUMIFS('tuot-PVÄ'!Y:Y,'tuot-PVÄ'!$A:$A,'tuot-rehukirjanpito'!$A95),0)</f>
        <v>0</v>
      </c>
      <c r="I95" s="206"/>
      <c r="J95" s="208"/>
    </row>
    <row r="96" spans="1:10" x14ac:dyDescent="0.25">
      <c r="A96" s="209"/>
      <c r="B96" s="208"/>
      <c r="C96" s="206"/>
      <c r="D96" s="207"/>
      <c r="E96" s="206"/>
      <c r="F96" s="208"/>
      <c r="G96" s="210">
        <f>ROUND(IF(SUMIFS('tuot-PVÄ'!X:X,'tuot-PVÄ'!$A:$A,'tuot-rehukirjanpito'!$A96)&lt;A96,A96,SUMIFS('tuot-PVÄ'!X:X,'tuot-PVÄ'!$A:$A,'tuot-rehukirjanpito'!$A96)),0)</f>
        <v>0</v>
      </c>
      <c r="H96" s="210">
        <f>ROUND(SUMIFS('tuot-PVÄ'!Y:Y,'tuot-PVÄ'!$A:$A,'tuot-rehukirjanpito'!$A96),0)</f>
        <v>0</v>
      </c>
      <c r="I96" s="206"/>
      <c r="J96" s="208"/>
    </row>
    <row r="97" spans="1:10" x14ac:dyDescent="0.25">
      <c r="A97" s="209"/>
      <c r="B97" s="208"/>
      <c r="C97" s="206"/>
      <c r="D97" s="207"/>
      <c r="E97" s="206"/>
      <c r="F97" s="208"/>
      <c r="G97" s="210">
        <f>ROUND(IF(SUMIFS('tuot-PVÄ'!X:X,'tuot-PVÄ'!$A:$A,'tuot-rehukirjanpito'!$A97)&lt;A97,A97,SUMIFS('tuot-PVÄ'!X:X,'tuot-PVÄ'!$A:$A,'tuot-rehukirjanpito'!$A97)),0)</f>
        <v>0</v>
      </c>
      <c r="H97" s="210">
        <f>ROUND(SUMIFS('tuot-PVÄ'!Y:Y,'tuot-PVÄ'!$A:$A,'tuot-rehukirjanpito'!$A97),0)</f>
        <v>0</v>
      </c>
      <c r="I97" s="206"/>
      <c r="J97" s="208"/>
    </row>
    <row r="98" spans="1:10" x14ac:dyDescent="0.25">
      <c r="A98" s="209"/>
      <c r="B98" s="208"/>
      <c r="C98" s="206"/>
      <c r="D98" s="207"/>
      <c r="E98" s="206"/>
      <c r="F98" s="208"/>
      <c r="G98" s="210">
        <f>ROUND(IF(SUMIFS('tuot-PVÄ'!X:X,'tuot-PVÄ'!$A:$A,'tuot-rehukirjanpito'!$A98)&lt;A98,A98,SUMIFS('tuot-PVÄ'!X:X,'tuot-PVÄ'!$A:$A,'tuot-rehukirjanpito'!$A98)),0)</f>
        <v>0</v>
      </c>
      <c r="H98" s="210">
        <f>ROUND(SUMIFS('tuot-PVÄ'!Y:Y,'tuot-PVÄ'!$A:$A,'tuot-rehukirjanpito'!$A98),0)</f>
        <v>0</v>
      </c>
      <c r="I98" s="206"/>
      <c r="J98" s="208"/>
    </row>
    <row r="99" spans="1:10" x14ac:dyDescent="0.25">
      <c r="A99" s="209"/>
      <c r="B99" s="208"/>
      <c r="C99" s="206"/>
      <c r="D99" s="207"/>
      <c r="E99" s="206"/>
      <c r="F99" s="208"/>
      <c r="G99" s="210">
        <f>ROUND(IF(SUMIFS('tuot-PVÄ'!X:X,'tuot-PVÄ'!$A:$A,'tuot-rehukirjanpito'!$A99)&lt;A99,A99,SUMIFS('tuot-PVÄ'!X:X,'tuot-PVÄ'!$A:$A,'tuot-rehukirjanpito'!$A99)),0)</f>
        <v>0</v>
      </c>
      <c r="H99" s="210">
        <f>ROUND(SUMIFS('tuot-PVÄ'!Y:Y,'tuot-PVÄ'!$A:$A,'tuot-rehukirjanpito'!$A99),0)</f>
        <v>0</v>
      </c>
      <c r="I99" s="206"/>
      <c r="J99" s="208"/>
    </row>
    <row r="100" spans="1:10" x14ac:dyDescent="0.25">
      <c r="A100" s="219"/>
      <c r="B100" s="220"/>
      <c r="C100" s="221"/>
      <c r="D100" s="222"/>
      <c r="E100" s="221"/>
      <c r="F100" s="220"/>
      <c r="G100" s="223">
        <f>ROUND(IF(SUMIFS('tuot-PVÄ'!X:X,'tuot-PVÄ'!$A:$A,'tuot-rehukirjanpito'!$A100)&lt;A100,A100,SUMIFS('tuot-PVÄ'!X:X,'tuot-PVÄ'!$A:$A,'tuot-rehukirjanpito'!$A100)),0)</f>
        <v>0</v>
      </c>
      <c r="H100" s="223">
        <f>ROUND(SUMIFS('tuot-PVÄ'!Y:Y,'tuot-PVÄ'!$A:$A,'tuot-rehukirjanpito'!$A100),0)</f>
        <v>0</v>
      </c>
      <c r="I100" s="221"/>
      <c r="J100" s="220"/>
    </row>
  </sheetData>
  <sheetProtection algorithmName="SHA-512" hashValue="AfD9eNDms3SoQ4pCWJZe6or3n/52KlSvJnbjmBWir0FDQnW1AtiKsaJcd5xtkTIHO3NGP3ZfLUaIgwPZevHCGA==" saltValue="Y0f1iOYiiO5D1CAOsipXtw==" spinCount="100000" sheet="1" selectLockedCells="1"/>
  <mergeCells count="4">
    <mergeCell ref="G1:H1"/>
    <mergeCell ref="D1:E1"/>
    <mergeCell ref="A1:A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Laskentataulukot</vt:lpstr>
      </vt:variant>
      <vt:variant>
        <vt:i4>10</vt:i4>
      </vt:variant>
      <vt:variant>
        <vt:lpstr>Kaaviot</vt:lpstr>
      </vt:variant>
      <vt:variant>
        <vt:i4>4</vt:i4>
      </vt:variant>
      <vt:variant>
        <vt:lpstr>Nimetyt alueet</vt:lpstr>
      </vt:variant>
      <vt:variant>
        <vt:i4>3</vt:i4>
      </vt:variant>
    </vt:vector>
  </HeadingPairs>
  <TitlesOfParts>
    <vt:vector size="17" baseType="lpstr">
      <vt:lpstr>Ohjeet</vt:lpstr>
      <vt:lpstr>Yleistiedot</vt:lpstr>
      <vt:lpstr>Muistiinpanoja</vt:lpstr>
      <vt:lpstr>kasv-PVÄ</vt:lpstr>
      <vt:lpstr>kasv-INFO</vt:lpstr>
      <vt:lpstr>tuot-PVÄ</vt:lpstr>
      <vt:lpstr>tuot-VKO</vt:lpstr>
      <vt:lpstr>tuot-INFO</vt:lpstr>
      <vt:lpstr>tuot-rehukirjanpito</vt:lpstr>
      <vt:lpstr>rehu-vesi-INFO</vt:lpstr>
      <vt:lpstr>kasv-DIA</vt:lpstr>
      <vt:lpstr>päiväseuranta-DIA</vt:lpstr>
      <vt:lpstr>tuot-DIA</vt:lpstr>
      <vt:lpstr>rehu-vesi-DIA</vt:lpstr>
      <vt:lpstr>'kasv-INFO'!Tulostusalue</vt:lpstr>
      <vt:lpstr>'rehu-vesi-INFO'!Tulostusalue</vt:lpstr>
      <vt:lpstr>'tuot-INFO'!Tulostusalue</vt:lpstr>
    </vt:vector>
  </TitlesOfParts>
  <Company>LSK Poultry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kimmo.kankare@lskpoultry.fi</dc:creator>
  <dc:description>v20180701
</dc:description>
  <cp:lastModifiedBy>Kimmo Kankare</cp:lastModifiedBy>
  <cp:lastPrinted>2016-06-30T05:05:42Z</cp:lastPrinted>
  <dcterms:created xsi:type="dcterms:W3CDTF">2016-02-23T17:35:48Z</dcterms:created>
  <dcterms:modified xsi:type="dcterms:W3CDTF">2018-07-01T16:41:29Z</dcterms:modified>
</cp:coreProperties>
</file>